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32" windowHeight="6252" activeTab="5"/>
  </bookViews>
  <sheets>
    <sheet name="HELP" sheetId="1" r:id="rId1"/>
    <sheet name="DATA" sheetId="2" r:id="rId2"/>
    <sheet name="STOCK" sheetId="3" r:id="rId3"/>
    <sheet name="K2(A4)" sheetId="4" r:id="rId4"/>
    <sheet name="NMP-1(A4)" sheetId="5" state="hidden" r:id="rId5"/>
    <sheet name="NMP-1(New)" sheetId="6" r:id="rId6"/>
    <sheet name="Voucher-1(A4)" sheetId="7" r:id="rId7"/>
    <sheet name="Voucher-2(A4)" sheetId="8" r:id="rId8"/>
    <sheet name="Voucher-3(A4) " sheetId="9" state="hidden" r:id="rId9"/>
    <sheet name="EXP" sheetId="10" r:id="rId10"/>
  </sheets>
  <definedNames>
    <definedName name="_xlfn.SUMIFS" hidden="1">#NAME?</definedName>
    <definedName name="_xlnm.Print_Area" localSheetId="1">'DATA'!$B$1:$CH$31</definedName>
    <definedName name="_xlnm.Print_Area" localSheetId="3">'K2(A4)'!$A$1:$U$45</definedName>
  </definedNames>
  <calcPr fullCalcOnLoad="1"/>
</workbook>
</file>

<file path=xl/comments2.xml><?xml version="1.0" encoding="utf-8"?>
<comments xmlns="http://schemas.openxmlformats.org/spreadsheetml/2006/main">
  <authors>
    <author>JOSE ABRAHAM</author>
  </authors>
  <commentList>
    <comment ref="C5" authorId="0">
      <text>
        <r>
          <rPr>
            <b/>
            <sz val="8"/>
            <rFont val="Tahoma"/>
            <family val="2"/>
          </rPr>
          <t>Do not type in this coloumn. Date is generated automatically.</t>
        </r>
      </text>
    </comment>
    <comment ref="K40" authorId="0">
      <text>
        <r>
          <rPr>
            <b/>
            <i/>
            <sz val="12"/>
            <color indexed="10"/>
            <rFont val="Tahoma"/>
            <family val="2"/>
          </rPr>
          <t>Activate ISM to type in Malayalam.</t>
        </r>
      </text>
    </comment>
    <comment ref="D6" authorId="0">
      <text>
        <r>
          <rPr>
            <b/>
            <sz val="8"/>
            <rFont val="Tahoma"/>
            <family val="2"/>
          </rPr>
          <t>Type the strength of Boys and Girls in each class.</t>
        </r>
      </text>
    </comment>
    <comment ref="L3" authorId="0">
      <text>
        <r>
          <rPr>
            <b/>
            <i/>
            <sz val="11"/>
            <color indexed="10"/>
            <rFont val="Tahoma"/>
            <family val="2"/>
          </rPr>
          <t>Type without spelling mistake</t>
        </r>
      </text>
    </comment>
    <comment ref="A3" authorId="0">
      <text>
        <r>
          <rPr>
            <b/>
            <sz val="8"/>
            <color indexed="48"/>
            <rFont val="Tahoma"/>
            <family val="2"/>
          </rPr>
          <t>Type the day only. The date will be automatically generated</t>
        </r>
      </text>
    </comment>
    <comment ref="AT33" authorId="0">
      <text>
        <r>
          <rPr>
            <b/>
            <sz val="8"/>
            <color indexed="12"/>
            <rFont val="Tahoma"/>
            <family val="2"/>
          </rPr>
          <t>Quantity in Litre.</t>
        </r>
      </text>
    </comment>
  </commentList>
</comments>
</file>

<file path=xl/comments4.xml><?xml version="1.0" encoding="utf-8"?>
<comments xmlns="http://schemas.openxmlformats.org/spreadsheetml/2006/main">
  <authors>
    <author>JOSE ABRAHAM</author>
  </authors>
  <commentList>
    <comment ref="AF17" authorId="0">
      <text>
        <r>
          <rPr>
            <b/>
            <sz val="10"/>
            <color indexed="10"/>
            <rFont val="Times New Roman"/>
            <family val="1"/>
          </rPr>
          <t xml:space="preserve">Verify the no. of Days for the stock to last.
</t>
        </r>
        <r>
          <rPr>
            <b/>
            <sz val="10"/>
            <color indexed="12"/>
            <rFont val="Times New Roman"/>
            <family val="1"/>
          </rPr>
          <t xml:space="preserve"> Verify the Stock Status and type items in the yellow cells accordingly.</t>
        </r>
      </text>
    </comment>
    <comment ref="AA17" authorId="0">
      <text>
        <r>
          <rPr>
            <b/>
            <sz val="12"/>
            <rFont val="Tahoma"/>
            <family val="2"/>
          </rPr>
          <t>Type '1' if supplied.</t>
        </r>
      </text>
    </comment>
    <comment ref="AB17" authorId="0">
      <text>
        <r>
          <rPr>
            <b/>
            <i/>
            <sz val="14"/>
            <rFont val="Tahoma"/>
            <family val="2"/>
          </rPr>
          <t>Type '1' if supplied.</t>
        </r>
      </text>
    </comment>
  </commentList>
</comments>
</file>

<file path=xl/sharedStrings.xml><?xml version="1.0" encoding="utf-8"?>
<sst xmlns="http://schemas.openxmlformats.org/spreadsheetml/2006/main" count="517" uniqueCount="203">
  <si>
    <t xml:space="preserve">MID-DAY MEAL PROGRAMME </t>
  </si>
  <si>
    <t>School Stock Register - Form No. K2</t>
  </si>
  <si>
    <t>Roll Strength</t>
  </si>
  <si>
    <t>Sanctioned Feeding Strenth</t>
  </si>
  <si>
    <t>Total No. fed</t>
  </si>
  <si>
    <t>Total No. of feeding days</t>
  </si>
  <si>
    <t>Pre-Primary</t>
  </si>
  <si>
    <t>1-5</t>
  </si>
  <si>
    <t>6-8</t>
  </si>
  <si>
    <t>Total</t>
  </si>
  <si>
    <t>9&amp;10</t>
  </si>
  <si>
    <t>Details of Stock</t>
  </si>
  <si>
    <t>Opening Balance</t>
  </si>
  <si>
    <t>Receipt during the month</t>
  </si>
  <si>
    <t>Rice</t>
  </si>
  <si>
    <t>Green Gram</t>
  </si>
  <si>
    <t>BGB</t>
  </si>
  <si>
    <t>BGS</t>
  </si>
  <si>
    <t>Lobia</t>
  </si>
  <si>
    <t>PD</t>
  </si>
  <si>
    <t>TD</t>
  </si>
  <si>
    <t>GGD</t>
  </si>
  <si>
    <t>PP</t>
  </si>
  <si>
    <t>Peas Dal</t>
  </si>
  <si>
    <t>Bengal Gram Bold</t>
  </si>
  <si>
    <t>Bengal Gram Small</t>
  </si>
  <si>
    <t>Toor Dal</t>
  </si>
  <si>
    <t>Green Gram Dal</t>
  </si>
  <si>
    <t>Day to Day Accounts</t>
  </si>
  <si>
    <t>Date</t>
  </si>
  <si>
    <t>No. of pupils participated</t>
  </si>
  <si>
    <t>Feeding Days</t>
  </si>
  <si>
    <t>Sl. No.</t>
  </si>
  <si>
    <t>No. of Feeding Days</t>
  </si>
  <si>
    <t>Month</t>
  </si>
  <si>
    <t>Year</t>
  </si>
  <si>
    <t>DAILY STOCK REGISTER OF NOON MEAL PROGRAMME</t>
  </si>
  <si>
    <t>Total Stock</t>
  </si>
  <si>
    <t>Month &amp; Year</t>
  </si>
  <si>
    <t>JANUARY</t>
  </si>
  <si>
    <t>FEBRUARY</t>
  </si>
  <si>
    <t>MARCH</t>
  </si>
  <si>
    <t>APRIL</t>
  </si>
  <si>
    <t>MAY</t>
  </si>
  <si>
    <t>JUNE</t>
  </si>
  <si>
    <t>JULY</t>
  </si>
  <si>
    <t>AUGUST</t>
  </si>
  <si>
    <t>SEPTEMBER</t>
  </si>
  <si>
    <t>OCTOBER</t>
  </si>
  <si>
    <t>NOVEMBER</t>
  </si>
  <si>
    <t>DECEMBER</t>
  </si>
  <si>
    <t>Current Month</t>
  </si>
  <si>
    <t>Name of School</t>
  </si>
  <si>
    <t>School Code</t>
  </si>
  <si>
    <t>Name of A.E.O.</t>
  </si>
  <si>
    <t>Areacode</t>
  </si>
  <si>
    <t>Name of Panchayat</t>
  </si>
  <si>
    <t>Urangattiri</t>
  </si>
  <si>
    <t>Name of Headmaster</t>
  </si>
  <si>
    <t>Name of Teacher in Charge</t>
  </si>
  <si>
    <t>(Signature of Headmaster)</t>
  </si>
  <si>
    <t>Utilised(kg)</t>
  </si>
  <si>
    <t>Balance(kg)</t>
  </si>
  <si>
    <t>P\phcn</t>
  </si>
  <si>
    <t>s^{_phcn</t>
  </si>
  <si>
    <t>amÀ¨v</t>
  </si>
  <si>
    <t>G{]nÂ</t>
  </si>
  <si>
    <t>sabv</t>
  </si>
  <si>
    <t>Pq¬</t>
  </si>
  <si>
    <t>Pqsse</t>
  </si>
  <si>
    <t>BKÌv</t>
  </si>
  <si>
    <t>sk]väw_À</t>
  </si>
  <si>
    <t>HIvtSm_À</t>
  </si>
  <si>
    <t>\hw_À</t>
  </si>
  <si>
    <t>Unkw_À</t>
  </si>
  <si>
    <t>amks¯</t>
  </si>
  <si>
    <t xml:space="preserve"> D¨-`-£-W-¯n-\pÅ ]mNIIqen C\¯nÂ- </t>
  </si>
  <si>
    <t>. . . . . . . . . . . . . . . . . . . . . . . . . . . . . . . . . . . . . . . . . . . . . . . . . . . . . )  In«nt_m[n¨p.</t>
  </si>
  <si>
    <t>Date of Consolidation</t>
  </si>
  <si>
    <t>hu¨À \¼À  :</t>
  </si>
  <si>
    <t>ho«pt]cv :</t>
  </si>
  <si>
    <t>H¸v  :</t>
  </si>
  <si>
    <t>t]cv  :</t>
  </si>
  <si>
    <t>Øew :</t>
  </si>
  <si>
    <t>Xn¿Xn :</t>
  </si>
  <si>
    <r>
      <t>cq] (. . . . . . . . . . . . . . . . . .</t>
    </r>
    <r>
      <rPr>
        <sz val="14"/>
        <rFont val="ML-TTKarthika"/>
        <family val="5"/>
      </rPr>
      <t xml:space="preserve"> … ……. …</t>
    </r>
  </si>
  <si>
    <t xml:space="preserve"> D¨-`-£-W-¯n-\pÅ ]ehyRvP\§fpsS hne C\¯nÂ </t>
  </si>
  <si>
    <t>D¨`£W¯n\pÅ km[\§Ä amthen tÌmdnÂ \n¶pw kvIqfnÂ F¯n¨Xn\pÅ h­n</t>
  </si>
  <si>
    <t xml:space="preserve"> </t>
  </si>
  <si>
    <t xml:space="preserve"> In«nt_m[n¨p.</t>
  </si>
  <si>
    <t>NMP - 1</t>
  </si>
  <si>
    <t>Noon Meal Programme - Director of Public Instruction</t>
  </si>
  <si>
    <t>Monthly Return</t>
  </si>
  <si>
    <t>Number of feeding days</t>
  </si>
  <si>
    <t xml:space="preserve">Return for the month of </t>
  </si>
  <si>
    <t>Std.</t>
  </si>
  <si>
    <t>Boys</t>
  </si>
  <si>
    <t>Girls</t>
  </si>
  <si>
    <t>MGLC</t>
  </si>
  <si>
    <t>Item</t>
  </si>
  <si>
    <t>Received</t>
  </si>
  <si>
    <t>Utilised</t>
  </si>
  <si>
    <t>Balance</t>
  </si>
  <si>
    <t>Stock Register (Kgms)</t>
  </si>
  <si>
    <t>Rs.</t>
  </si>
  <si>
    <t>Contingency Expenses</t>
  </si>
  <si>
    <t>Vouchers Produced</t>
  </si>
  <si>
    <t>Cooking Charge</t>
  </si>
  <si>
    <t>Condiments</t>
  </si>
  <si>
    <t>Transportation &amp; Firewood</t>
  </si>
  <si>
    <t>Headmaster</t>
  </si>
  <si>
    <t>First 100</t>
  </si>
  <si>
    <t>Cooking</t>
  </si>
  <si>
    <t>Transportation</t>
  </si>
  <si>
    <t>Don't Type anything in this computation field !</t>
  </si>
  <si>
    <t>GG</t>
  </si>
  <si>
    <t>ITEM</t>
  </si>
  <si>
    <t>Max. Use per day</t>
  </si>
  <si>
    <t>Chart of Duration</t>
  </si>
  <si>
    <t>No. of Days</t>
  </si>
  <si>
    <t xml:space="preserve">( …… …………..… . . . . . . . . . . . . . . . . . . . . . . . . . . . . . . . . . . . . . . . ….. . . . . . . . . . . . . . ) </t>
  </si>
  <si>
    <t xml:space="preserve">cq] (. . . . . . . . . . . </t>
  </si>
  <si>
    <t>Place</t>
  </si>
  <si>
    <t>Allotment per Student</t>
  </si>
  <si>
    <t xml:space="preserve">Rice </t>
  </si>
  <si>
    <t>Prepared by,
Jose Abraham, S.S.H.S.S. Moorkanad
Ph:9946374256</t>
  </si>
  <si>
    <t>Nil</t>
  </si>
  <si>
    <t>Balance (No. of Days)</t>
  </si>
  <si>
    <t>Stock 
Status</t>
  </si>
  <si>
    <t>Row No.</t>
  </si>
  <si>
    <t>Stock</t>
  </si>
  <si>
    <t>shäne¸md Pn. bp. ]n.kvIqÄ slUvamÌdnÂ \n¶pw</t>
  </si>
  <si>
    <t>A</t>
  </si>
  <si>
    <t>B</t>
  </si>
  <si>
    <t>Class</t>
  </si>
  <si>
    <t>Type the day</t>
  </si>
  <si>
    <t>Name of School :</t>
  </si>
  <si>
    <t>Name of School(in Malayalam)</t>
  </si>
  <si>
    <t>Place of School(in Malayalam)</t>
  </si>
  <si>
    <t>slUvamÌdnÂ \n¶pw</t>
  </si>
  <si>
    <t>Classes 1-5</t>
  </si>
  <si>
    <t>Classes 6-8</t>
  </si>
  <si>
    <t xml:space="preserve">Cooking </t>
  </si>
  <si>
    <t>Rate of Expenses in Rs.</t>
  </si>
  <si>
    <t>Balance Needed (Other Items)</t>
  </si>
  <si>
    <t>Use</t>
  </si>
  <si>
    <t>¡qen, Ibänd¡pIqen F¶o C\§fnÂ</t>
  </si>
  <si>
    <t>cq] (.......... ....................... ............... .......</t>
  </si>
  <si>
    <t xml:space="preserve"> D¨-`-£-W-¯n-\pÅ hndInsâ hne C\¯nÂ </t>
  </si>
  <si>
    <t>S.S.H.S.S. Moorkanad</t>
  </si>
  <si>
    <t>Moorkanad</t>
  </si>
  <si>
    <t>Lijin G.S.</t>
  </si>
  <si>
    <t>Abdul Majeed K.T.</t>
  </si>
  <si>
    <t>kp_pepÊemw lbÀsk¡­dn kvIqÄ</t>
  </si>
  <si>
    <t>aqÀ¡\mSv</t>
  </si>
  <si>
    <t>cq] (. . . . . . . . . . . .............. ............................. ............................. ................. .................. ............. .................. .................. )</t>
  </si>
  <si>
    <t xml:space="preserve">D¨`£W¯n\pÅ km[\§Ä amthen tÌmdnÂ \n¶pw kvIqfnÂ F¯n¨Xn\pÅ h­n¡qen, Ibänd¡pIqen F¶o C\¯nepw, hndInsâ hne C\¯nepw </t>
  </si>
  <si>
    <t>cq] ( .............. ................................. .......................... ........................ ......................... .............. ............. ................ .......... ) In«nt_m[n¨p.</t>
  </si>
  <si>
    <t>C</t>
  </si>
  <si>
    <t>D</t>
  </si>
  <si>
    <t>E</t>
  </si>
  <si>
    <t>September</t>
  </si>
  <si>
    <t>Feeding Strength</t>
  </si>
  <si>
    <t>I -V</t>
  </si>
  <si>
    <t>VI - VII</t>
  </si>
  <si>
    <t>VIII</t>
  </si>
  <si>
    <t>Total No. of Students Participated in the Noon Meal Programme</t>
  </si>
  <si>
    <t xml:space="preserve">Boys </t>
  </si>
  <si>
    <t>Details of Egg and Milk Supply</t>
  </si>
  <si>
    <t>No. of Eggs Distributed</t>
  </si>
  <si>
    <t>Quantity of Milk Distributed</t>
  </si>
  <si>
    <t>I - V</t>
  </si>
  <si>
    <t>VI-VII</t>
  </si>
  <si>
    <t>Recieved during the month</t>
  </si>
  <si>
    <t>Utilised during the month</t>
  </si>
  <si>
    <t>Stock Register as per 'K2' Form kept in the School Office</t>
  </si>
  <si>
    <t>For Office Use only</t>
  </si>
  <si>
    <t>Amount as per vouchers</t>
  </si>
  <si>
    <t>Amount Claimed</t>
  </si>
  <si>
    <t>Amount Passed</t>
  </si>
  <si>
    <t>Amount of Advance</t>
  </si>
  <si>
    <t>Net payable amount (Less advance)</t>
  </si>
  <si>
    <t>Excess Amount with HM</t>
  </si>
  <si>
    <t>Remuneration to Cook</t>
  </si>
  <si>
    <t>Amount Passed for Egg by AEO</t>
  </si>
  <si>
    <t>Grand Total</t>
  </si>
  <si>
    <t>(School Seal)</t>
  </si>
  <si>
    <t>EGG</t>
  </si>
  <si>
    <t>MILK</t>
  </si>
  <si>
    <t>No. of Dates</t>
  </si>
  <si>
    <t>Egg</t>
  </si>
  <si>
    <t>Milk</t>
  </si>
  <si>
    <t>Date Index</t>
  </si>
  <si>
    <t>Use of Milk</t>
  </si>
  <si>
    <t>Use of Eggs</t>
  </si>
  <si>
    <t>Date Mark</t>
  </si>
  <si>
    <t>Per Day</t>
  </si>
  <si>
    <t>Rate of Milk &amp; Egg (Rs)</t>
  </si>
  <si>
    <t>gg</t>
  </si>
  <si>
    <t>Strength 1 - 5</t>
  </si>
  <si>
    <t>Strength 6 - 8</t>
  </si>
  <si>
    <t xml:space="preserve">1. Type only in the Yellow-Coloured cells. Do not modify the other cells which may contain formulae.
2. Data are to be entered in the Sheets named 'DATA', 'STOCK' and 'K2(A4)' (only in yellow cells).
3. Type only the number corresponding to the days of the feeding dates(in cells A7 to A30). The dates will be generated automatically when you enter month and year in the top of the sheet 'DATA'.
4. Enter the opening balance and details of stock received in the sheet 'STOCK'. Otherwise, balance in  K2 will be shown as negative numbers.
5. Type the items of food(GG, Lobia,etc.) in the cells W19 to W42 of the sheet 'K2(A4)' according to the stock . If the balance of an item is less than the normal quantity, you can dispose it by manually entering it in the relevant column showing usage. The balance quantity will be shown in cells Y19 to Y42. This quantity also should be manually entered in the usage column of any other item, for the same date. This will not affect the formulae.
6. If there is a supply of Egg or Milk, simply type 1 for the relevant date, in cells AA19 to AB42. Type the quantity of supply in 'DATA' cells AT34, AT35, AV34, AV35 (ONLY IF SUPPLIED).
7. This worksheet is for schools having upto 40 divisions. You can type the classes and divisions in the cells D4 to CE4 of 'DATA'. If there are blank columns in this range, you can hide them so as to take a print out. The strength of the divisions are entered in D6 to CE6.
8. K2, NMP-1, Voucher-1 and Voucher-2 provide print outs in A4 size.
</t>
  </si>
  <si>
    <t>Please read these instructions before using this software ! 
(Pint this page if needed)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</si>
</sst>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000"/>
    <numFmt numFmtId="166" formatCode="0.0"/>
  </numFmts>
  <fonts count="128">
    <font>
      <sz val="11"/>
      <color theme="1"/>
      <name val="Calibri"/>
      <family val="2"/>
    </font>
    <font>
      <sz val="12"/>
      <color indexed="8"/>
      <name val="Times New Roman"/>
      <family val="2"/>
    </font>
    <font>
      <b/>
      <sz val="8"/>
      <name val="Tahoma"/>
      <family val="2"/>
    </font>
    <font>
      <sz val="14"/>
      <name val="ML-TTKarthika"/>
      <family val="5"/>
    </font>
    <font>
      <b/>
      <sz val="14"/>
      <name val="ML-TTKarthika"/>
      <family val="5"/>
    </font>
    <font>
      <sz val="13"/>
      <name val="ML-TTKarthika"/>
      <family val="5"/>
    </font>
    <font>
      <b/>
      <sz val="12"/>
      <name val="Times New Roman"/>
      <family val="1"/>
    </font>
    <font>
      <b/>
      <sz val="13"/>
      <name val="ML-TTKarthika"/>
      <family val="5"/>
    </font>
    <font>
      <b/>
      <sz val="10"/>
      <color indexed="10"/>
      <name val="Times New Roman"/>
      <family val="1"/>
    </font>
    <font>
      <b/>
      <sz val="10"/>
      <color indexed="12"/>
      <name val="Times New Roman"/>
      <family val="1"/>
    </font>
    <font>
      <b/>
      <i/>
      <sz val="12"/>
      <color indexed="10"/>
      <name val="Tahoma"/>
      <family val="2"/>
    </font>
    <font>
      <b/>
      <i/>
      <sz val="14"/>
      <name val="Tahoma"/>
      <family val="2"/>
    </font>
    <font>
      <b/>
      <sz val="12"/>
      <name val="Tahoma"/>
      <family val="2"/>
    </font>
    <font>
      <b/>
      <i/>
      <sz val="11"/>
      <color indexed="10"/>
      <name val="Tahoma"/>
      <family val="2"/>
    </font>
    <font>
      <b/>
      <sz val="8"/>
      <color indexed="48"/>
      <name val="Tahoma"/>
      <family val="2"/>
    </font>
    <font>
      <b/>
      <sz val="8"/>
      <color indexed="12"/>
      <name val="Tahoma"/>
      <family val="2"/>
    </font>
    <font>
      <sz val="11"/>
      <color indexed="8"/>
      <name val="Calibri"/>
      <family val="2"/>
    </font>
    <font>
      <sz val="11"/>
      <color indexed="8"/>
      <name val="Times New Roman"/>
      <family val="1"/>
    </font>
    <font>
      <sz val="8"/>
      <color indexed="8"/>
      <name val="Times New Roman"/>
      <family val="1"/>
    </font>
    <font>
      <b/>
      <sz val="12"/>
      <color indexed="8"/>
      <name val="Times New Roman"/>
      <family val="1"/>
    </font>
    <font>
      <sz val="9"/>
      <color indexed="8"/>
      <name val="Times New Roman"/>
      <family val="1"/>
    </font>
    <font>
      <b/>
      <sz val="11"/>
      <color indexed="8"/>
      <name val="Times New Roman"/>
      <family val="1"/>
    </font>
    <font>
      <b/>
      <sz val="9"/>
      <color indexed="8"/>
      <name val="Times New Roman"/>
      <family val="1"/>
    </font>
    <font>
      <sz val="10"/>
      <color indexed="8"/>
      <name val="Times New Roman"/>
      <family val="1"/>
    </font>
    <font>
      <b/>
      <sz val="14"/>
      <color indexed="10"/>
      <name val="Times New Roman"/>
      <family val="1"/>
    </font>
    <font>
      <b/>
      <sz val="14"/>
      <color indexed="12"/>
      <name val="Times New Roman"/>
      <family val="1"/>
    </font>
    <font>
      <sz val="14"/>
      <color indexed="8"/>
      <name val="ML-TTKarthika"/>
      <family val="5"/>
    </font>
    <font>
      <b/>
      <sz val="14"/>
      <color indexed="8"/>
      <name val="ML-TTKarthika"/>
      <family val="5"/>
    </font>
    <font>
      <b/>
      <sz val="14"/>
      <color indexed="8"/>
      <name val="Times New Roman"/>
      <family val="1"/>
    </font>
    <font>
      <b/>
      <sz val="16"/>
      <color indexed="8"/>
      <name val="ML-TTKarthika"/>
      <family val="5"/>
    </font>
    <font>
      <sz val="14"/>
      <color indexed="8"/>
      <name val="Times New Roman"/>
      <family val="1"/>
    </font>
    <font>
      <b/>
      <sz val="12"/>
      <color indexed="8"/>
      <name val="ML-TTKarthika"/>
      <family val="5"/>
    </font>
    <font>
      <b/>
      <sz val="12"/>
      <color indexed="10"/>
      <name val="Times New Roman"/>
      <family val="1"/>
    </font>
    <font>
      <sz val="7"/>
      <color indexed="8"/>
      <name val="Times New Roman"/>
      <family val="1"/>
    </font>
    <font>
      <sz val="12"/>
      <color indexed="10"/>
      <name val="Times New Roman"/>
      <family val="1"/>
    </font>
    <font>
      <b/>
      <sz val="11"/>
      <color indexed="10"/>
      <name val="Times New Roman"/>
      <family val="1"/>
    </font>
    <font>
      <b/>
      <sz val="16"/>
      <color indexed="8"/>
      <name val="Times New Roman"/>
      <family val="1"/>
    </font>
    <font>
      <b/>
      <sz val="12"/>
      <color indexed="12"/>
      <name val="Times New Roman"/>
      <family val="1"/>
    </font>
    <font>
      <b/>
      <sz val="10"/>
      <color indexed="8"/>
      <name val="Times New Roman"/>
      <family val="1"/>
    </font>
    <font>
      <b/>
      <i/>
      <sz val="11"/>
      <color indexed="8"/>
      <name val="Times New Roman"/>
      <family val="1"/>
    </font>
    <font>
      <b/>
      <i/>
      <sz val="12"/>
      <color indexed="8"/>
      <name val="Times New Roman"/>
      <family val="1"/>
    </font>
    <font>
      <b/>
      <i/>
      <sz val="14"/>
      <color indexed="8"/>
      <name val="Times New Roman"/>
      <family val="1"/>
    </font>
    <font>
      <b/>
      <sz val="10"/>
      <color indexed="8"/>
      <name val="ML-TTKarthika"/>
      <family val="5"/>
    </font>
    <font>
      <b/>
      <sz val="12"/>
      <color indexed="9"/>
      <name val="Times New Roman"/>
      <family val="1"/>
    </font>
    <font>
      <b/>
      <sz val="14"/>
      <color indexed="10"/>
      <name val="ML-TTKarthika"/>
      <family val="5"/>
    </font>
    <font>
      <b/>
      <i/>
      <sz val="12"/>
      <color indexed="10"/>
      <name val="Times New Roman"/>
      <family val="1"/>
    </font>
    <font>
      <b/>
      <sz val="18"/>
      <color indexed="10"/>
      <name val="Times New Roman"/>
      <family val="1"/>
    </font>
    <font>
      <b/>
      <sz val="8"/>
      <color indexed="8"/>
      <name val="Times New Roman"/>
      <family val="1"/>
    </font>
    <font>
      <b/>
      <u val="single"/>
      <sz val="14"/>
      <color indexed="8"/>
      <name val="Times New Roman"/>
      <family val="1"/>
    </font>
    <font>
      <b/>
      <sz val="18"/>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i/>
      <sz val="12"/>
      <color indexed="23"/>
      <name val="Times New Roman"/>
      <family val="2"/>
    </font>
    <font>
      <sz val="12"/>
      <color indexed="9"/>
      <name val="Times New Roman"/>
      <family val="2"/>
    </font>
    <font>
      <sz val="12"/>
      <color indexed="8"/>
      <name val="Arial Narrow"/>
      <family val="2"/>
    </font>
    <font>
      <sz val="8"/>
      <color indexed="8"/>
      <name val="Arial Narrow"/>
      <family val="2"/>
    </font>
    <font>
      <sz val="11"/>
      <color indexed="8"/>
      <name val="Arial Narrow"/>
      <family val="2"/>
    </font>
    <font>
      <sz val="9"/>
      <color indexed="8"/>
      <name val="Arial Narrow"/>
      <family val="2"/>
    </font>
    <font>
      <sz val="10"/>
      <color indexed="8"/>
      <name val="Arial Narrow"/>
      <family val="2"/>
    </font>
    <font>
      <sz val="7"/>
      <color indexed="8"/>
      <name val="Arial Narrow"/>
      <family val="2"/>
    </font>
    <font>
      <b/>
      <i/>
      <u val="single"/>
      <sz val="16"/>
      <color indexed="8"/>
      <name val="Times New Roman"/>
      <family val="1"/>
    </font>
    <font>
      <b/>
      <i/>
      <u val="single"/>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8"/>
      <color theme="1"/>
      <name val="Times New Roman"/>
      <family val="1"/>
    </font>
    <font>
      <sz val="9"/>
      <color theme="1"/>
      <name val="Times New Roman"/>
      <family val="1"/>
    </font>
    <font>
      <b/>
      <sz val="11"/>
      <color theme="1"/>
      <name val="Times New Roman"/>
      <family val="1"/>
    </font>
    <font>
      <b/>
      <sz val="9"/>
      <color theme="1"/>
      <name val="Times New Roman"/>
      <family val="1"/>
    </font>
    <font>
      <sz val="10"/>
      <color theme="1"/>
      <name val="Times New Roman"/>
      <family val="1"/>
    </font>
    <font>
      <b/>
      <sz val="14"/>
      <color rgb="FFFF0000"/>
      <name val="Times New Roman"/>
      <family val="1"/>
    </font>
    <font>
      <b/>
      <sz val="14"/>
      <color rgb="FF0000FF"/>
      <name val="Times New Roman"/>
      <family val="1"/>
    </font>
    <font>
      <sz val="14"/>
      <color theme="1"/>
      <name val="ML-TTKarthika"/>
      <family val="5"/>
    </font>
    <font>
      <b/>
      <sz val="14"/>
      <color theme="1"/>
      <name val="ML-TTKarthika"/>
      <family val="5"/>
    </font>
    <font>
      <b/>
      <sz val="14"/>
      <color theme="1"/>
      <name val="Times New Roman"/>
      <family val="1"/>
    </font>
    <font>
      <b/>
      <sz val="16"/>
      <color theme="1"/>
      <name val="ML-TTKarthika"/>
      <family val="5"/>
    </font>
    <font>
      <sz val="14"/>
      <color theme="1"/>
      <name val="Times New Roman"/>
      <family val="1"/>
    </font>
    <font>
      <b/>
      <sz val="12"/>
      <color theme="1"/>
      <name val="ML-TTKarthika"/>
      <family val="5"/>
    </font>
    <font>
      <b/>
      <sz val="12"/>
      <color rgb="FFFF0000"/>
      <name val="Times New Roman"/>
      <family val="1"/>
    </font>
    <font>
      <sz val="7"/>
      <color theme="1"/>
      <name val="Times New Roman"/>
      <family val="1"/>
    </font>
    <font>
      <b/>
      <sz val="10"/>
      <color rgb="FFFF0000"/>
      <name val="Times New Roman"/>
      <family val="1"/>
    </font>
    <font>
      <b/>
      <sz val="11"/>
      <color rgb="FFFF0000"/>
      <name val="Times New Roman"/>
      <family val="1"/>
    </font>
    <font>
      <b/>
      <sz val="16"/>
      <color theme="1"/>
      <name val="Times New Roman"/>
      <family val="1"/>
    </font>
    <font>
      <b/>
      <sz val="12"/>
      <color rgb="FF0000FF"/>
      <name val="Times New Roman"/>
      <family val="1"/>
    </font>
    <font>
      <b/>
      <sz val="10"/>
      <color theme="1"/>
      <name val="Times New Roman"/>
      <family val="1"/>
    </font>
    <font>
      <b/>
      <i/>
      <sz val="11"/>
      <color theme="1"/>
      <name val="Times New Roman"/>
      <family val="1"/>
    </font>
    <font>
      <b/>
      <i/>
      <sz val="12"/>
      <color theme="1"/>
      <name val="Times New Roman"/>
      <family val="1"/>
    </font>
    <font>
      <b/>
      <sz val="10"/>
      <color theme="1"/>
      <name val="ML-TTKarthika"/>
      <family val="5"/>
    </font>
    <font>
      <sz val="12"/>
      <color theme="1"/>
      <name val="Arial Narrow"/>
      <family val="2"/>
    </font>
    <font>
      <sz val="8"/>
      <color theme="1"/>
      <name val="Arial Narrow"/>
      <family val="2"/>
    </font>
    <font>
      <sz val="11"/>
      <color theme="1"/>
      <name val="Arial Narrow"/>
      <family val="2"/>
    </font>
    <font>
      <sz val="9"/>
      <color theme="1"/>
      <name val="Arial Narrow"/>
      <family val="2"/>
    </font>
    <font>
      <sz val="10"/>
      <color theme="1"/>
      <name val="Arial Narrow"/>
      <family val="2"/>
    </font>
    <font>
      <sz val="7"/>
      <color theme="1"/>
      <name val="Arial Narrow"/>
      <family val="2"/>
    </font>
    <font>
      <b/>
      <i/>
      <u val="single"/>
      <sz val="14"/>
      <color theme="1"/>
      <name val="Times New Roman"/>
      <family val="1"/>
    </font>
    <font>
      <b/>
      <i/>
      <u val="single"/>
      <sz val="16"/>
      <color theme="1"/>
      <name val="Times New Roman"/>
      <family val="1"/>
    </font>
    <font>
      <b/>
      <i/>
      <sz val="14"/>
      <color theme="1"/>
      <name val="Times New Roman"/>
      <family val="1"/>
    </font>
    <font>
      <b/>
      <i/>
      <sz val="12"/>
      <color rgb="FFFF0000"/>
      <name val="Times New Roman"/>
      <family val="1"/>
    </font>
    <font>
      <b/>
      <sz val="18"/>
      <color rgb="FFFF0000"/>
      <name val="Times New Roman"/>
      <family val="1"/>
    </font>
    <font>
      <b/>
      <sz val="14"/>
      <color rgb="FFFF0000"/>
      <name val="ML-TTKarthika"/>
      <family val="5"/>
    </font>
    <font>
      <b/>
      <sz val="8"/>
      <color theme="1"/>
      <name val="Times New Roman"/>
      <family val="1"/>
    </font>
    <font>
      <b/>
      <u val="single"/>
      <sz val="14"/>
      <color theme="1"/>
      <name val="Times New Roman"/>
      <family val="1"/>
    </font>
    <font>
      <b/>
      <sz val="18"/>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rgb="FFFF0000"/>
        <bgColor indexed="64"/>
      </patternFill>
    </fill>
    <fill>
      <gradientFill degree="90">
        <stop position="0">
          <color rgb="FFFF0000"/>
        </stop>
        <stop position="1">
          <color rgb="FF92D050"/>
        </stop>
      </gradient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FFFF66"/>
        <bgColor indexed="64"/>
      </patternFill>
    </fill>
    <fill>
      <patternFill patternType="solid">
        <fgColor theme="3" tint="0.5999900102615356"/>
        <bgColor indexed="64"/>
      </patternFill>
    </fill>
    <fill>
      <gradientFill degree="90">
        <stop position="0">
          <color rgb="FFFF0000"/>
        </stop>
        <stop position="1">
          <color theme="4"/>
        </stop>
      </gradientFill>
    </fill>
    <fill>
      <gradientFill degree="90">
        <stop position="0">
          <color rgb="FFFF0000"/>
        </stop>
        <stop position="1">
          <color theme="4"/>
        </stop>
      </gradientFill>
    </fill>
    <fill>
      <gradientFill degree="90">
        <stop position="0">
          <color rgb="FFFF0000"/>
        </stop>
        <stop position="1">
          <color theme="4"/>
        </stop>
      </gradient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patternFill patternType="solid">
        <fgColor rgb="FFCCFFCC"/>
        <bgColor indexed="64"/>
      </pattern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gradientFill degree="90">
        <stop position="0">
          <color rgb="FFFF0000"/>
        </stop>
        <stop position="1">
          <color rgb="FF92D050"/>
        </stop>
      </gradientFill>
    </fill>
    <fill>
      <patternFill patternType="solid">
        <fgColor rgb="FFCCE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style="medium"/>
      <top style="medium"/>
      <bottom style="medium"/>
    </border>
    <border>
      <left style="thin"/>
      <right/>
      <top style="thin"/>
      <bottom style="thin"/>
    </border>
    <border>
      <left/>
      <right/>
      <top style="thin"/>
      <bottom/>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top/>
      <bottom style="thin"/>
    </border>
    <border>
      <left style="medium"/>
      <right style="thin"/>
      <top style="medium"/>
      <bottom style="medium"/>
    </border>
    <border>
      <left style="thin"/>
      <right style="thin"/>
      <top style="medium"/>
      <bottom style="medium"/>
    </border>
    <border>
      <left/>
      <right style="thin"/>
      <top/>
      <bottom/>
    </border>
    <border>
      <left style="medium"/>
      <right/>
      <top style="medium"/>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79">
    <xf numFmtId="0" fontId="0" fillId="0" borderId="0" xfId="0" applyFont="1" applyAlignment="1">
      <alignment/>
    </xf>
    <xf numFmtId="0" fontId="88" fillId="0" borderId="0" xfId="0" applyFont="1" applyAlignment="1">
      <alignment horizontal="center" vertical="center"/>
    </xf>
    <xf numFmtId="0" fontId="88" fillId="0" borderId="10" xfId="0" applyFont="1" applyBorder="1" applyAlignment="1">
      <alignment horizontal="center" vertical="center"/>
    </xf>
    <xf numFmtId="49" fontId="88" fillId="0" borderId="10" xfId="0" applyNumberFormat="1" applyFont="1" applyBorder="1" applyAlignment="1">
      <alignment horizontal="center" vertical="center" wrapText="1"/>
    </xf>
    <xf numFmtId="0" fontId="89" fillId="0" borderId="10" xfId="0" applyFont="1" applyBorder="1" applyAlignment="1">
      <alignment horizontal="center" vertical="center" wrapText="1"/>
    </xf>
    <xf numFmtId="0" fontId="88" fillId="0" borderId="0" xfId="0" applyFont="1" applyAlignment="1">
      <alignment horizontal="left" vertical="center"/>
    </xf>
    <xf numFmtId="0" fontId="86" fillId="0" borderId="0" xfId="0" applyFont="1" applyAlignment="1">
      <alignment horizontal="center" vertical="center"/>
    </xf>
    <xf numFmtId="49" fontId="90" fillId="0" borderId="10" xfId="0" applyNumberFormat="1" applyFont="1" applyBorder="1" applyAlignment="1">
      <alignment horizontal="center" vertical="center" wrapText="1"/>
    </xf>
    <xf numFmtId="0" fontId="91" fillId="0" borderId="10" xfId="0" applyFont="1" applyBorder="1" applyAlignment="1">
      <alignment horizontal="center" vertical="center"/>
    </xf>
    <xf numFmtId="0" fontId="86" fillId="0" borderId="0" xfId="0" applyFont="1" applyAlignment="1">
      <alignment horizontal="center" vertical="center"/>
    </xf>
    <xf numFmtId="0" fontId="71" fillId="0" borderId="0" xfId="0" applyFont="1" applyAlignment="1">
      <alignment/>
    </xf>
    <xf numFmtId="0" fontId="71" fillId="0" borderId="0" xfId="0" applyFont="1" applyAlignment="1">
      <alignment vertical="center"/>
    </xf>
    <xf numFmtId="0" fontId="71" fillId="0" borderId="0" xfId="0" applyFont="1" applyAlignment="1">
      <alignment horizontal="center" vertical="center"/>
    </xf>
    <xf numFmtId="0" fontId="86" fillId="0" borderId="0" xfId="0" applyFont="1" applyAlignment="1">
      <alignment vertical="center"/>
    </xf>
    <xf numFmtId="0" fontId="71" fillId="33" borderId="10" xfId="0" applyFont="1" applyFill="1" applyBorder="1" applyAlignment="1">
      <alignment horizontal="center" vertical="center"/>
    </xf>
    <xf numFmtId="0" fontId="71" fillId="0" borderId="0" xfId="0" applyFont="1" applyAlignment="1">
      <alignment horizontal="left" vertical="center"/>
    </xf>
    <xf numFmtId="14" fontId="90" fillId="0" borderId="10" xfId="0" applyNumberFormat="1" applyFont="1" applyBorder="1" applyAlignment="1">
      <alignment horizontal="center" vertical="center"/>
    </xf>
    <xf numFmtId="0" fontId="91" fillId="0" borderId="11" xfId="0" applyFont="1" applyBorder="1" applyAlignment="1">
      <alignment horizontal="center" vertical="center"/>
    </xf>
    <xf numFmtId="14" fontId="71" fillId="0" borderId="0" xfId="0" applyNumberFormat="1" applyFont="1" applyAlignment="1">
      <alignment horizontal="center" vertical="center"/>
    </xf>
    <xf numFmtId="14" fontId="71" fillId="0" borderId="10" xfId="0" applyNumberFormat="1" applyFont="1" applyBorder="1" applyAlignment="1">
      <alignment horizontal="center" vertical="center"/>
    </xf>
    <xf numFmtId="0" fontId="91"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14" fontId="92" fillId="0" borderId="10" xfId="0" applyNumberFormat="1" applyFont="1" applyBorder="1" applyAlignment="1">
      <alignment horizontal="center" vertical="center" wrapText="1"/>
    </xf>
    <xf numFmtId="0" fontId="90" fillId="0" borderId="10" xfId="0" applyFont="1" applyBorder="1" applyAlignment="1">
      <alignment horizontal="center" vertical="center"/>
    </xf>
    <xf numFmtId="0" fontId="93" fillId="0" borderId="10" xfId="0" applyFont="1" applyBorder="1" applyAlignment="1">
      <alignment horizontal="center" vertical="center"/>
    </xf>
    <xf numFmtId="164" fontId="88" fillId="0" borderId="0" xfId="0" applyNumberFormat="1" applyFont="1" applyAlignment="1">
      <alignment horizontal="center" vertical="center"/>
    </xf>
    <xf numFmtId="0" fontId="0" fillId="0" borderId="0" xfId="0" applyBorder="1" applyAlignment="1">
      <alignment/>
    </xf>
    <xf numFmtId="0" fontId="71" fillId="0" borderId="0" xfId="0" applyFont="1" applyBorder="1" applyAlignment="1">
      <alignment horizontal="center" vertical="center"/>
    </xf>
    <xf numFmtId="2" fontId="94" fillId="0" borderId="10" xfId="0" applyNumberFormat="1" applyFont="1" applyBorder="1" applyAlignment="1">
      <alignment horizontal="center" vertical="center"/>
    </xf>
    <xf numFmtId="2" fontId="95" fillId="0" borderId="10" xfId="0" applyNumberFormat="1" applyFont="1" applyBorder="1" applyAlignment="1">
      <alignment horizontal="center" vertical="center"/>
    </xf>
    <xf numFmtId="0" fontId="86" fillId="0" borderId="10" xfId="0" applyFont="1" applyBorder="1" applyAlignment="1">
      <alignment horizontal="center" vertical="center"/>
    </xf>
    <xf numFmtId="0" fontId="3" fillId="0" borderId="0" xfId="0" applyFont="1" applyBorder="1" applyAlignment="1">
      <alignment/>
    </xf>
    <xf numFmtId="0" fontId="96" fillId="0" borderId="0" xfId="0" applyFont="1" applyAlignment="1">
      <alignment/>
    </xf>
    <xf numFmtId="0" fontId="71" fillId="0" borderId="0" xfId="0" applyFont="1" applyAlignment="1">
      <alignment horizontal="center"/>
    </xf>
    <xf numFmtId="0" fontId="96" fillId="0" borderId="0" xfId="0" applyFont="1" applyAlignment="1">
      <alignment vertical="center"/>
    </xf>
    <xf numFmtId="0" fontId="96" fillId="0" borderId="0" xfId="0" applyFont="1" applyBorder="1" applyAlignment="1">
      <alignment/>
    </xf>
    <xf numFmtId="0" fontId="4" fillId="0" borderId="0" xfId="0" applyFont="1" applyBorder="1" applyAlignment="1">
      <alignment/>
    </xf>
    <xf numFmtId="0" fontId="96" fillId="0" borderId="12" xfId="0" applyFont="1" applyBorder="1" applyAlignment="1">
      <alignment/>
    </xf>
    <xf numFmtId="0" fontId="96" fillId="0" borderId="13" xfId="0" applyFont="1" applyBorder="1" applyAlignment="1">
      <alignment/>
    </xf>
    <xf numFmtId="0" fontId="96" fillId="0" borderId="14" xfId="0" applyFont="1" applyBorder="1" applyAlignment="1">
      <alignment/>
    </xf>
    <xf numFmtId="0" fontId="4" fillId="0" borderId="15" xfId="0" applyFont="1" applyBorder="1" applyAlignment="1">
      <alignment/>
    </xf>
    <xf numFmtId="0" fontId="96" fillId="0" borderId="16" xfId="0" applyFont="1" applyBorder="1" applyAlignment="1">
      <alignment/>
    </xf>
    <xf numFmtId="0" fontId="96" fillId="0" borderId="15" xfId="0" applyFont="1" applyBorder="1" applyAlignment="1">
      <alignment/>
    </xf>
    <xf numFmtId="0" fontId="4" fillId="0" borderId="16" xfId="0" applyFont="1" applyBorder="1" applyAlignment="1">
      <alignment/>
    </xf>
    <xf numFmtId="0" fontId="97" fillId="0" borderId="0" xfId="0" applyFont="1" applyBorder="1" applyAlignment="1">
      <alignment/>
    </xf>
    <xf numFmtId="0" fontId="4" fillId="0" borderId="0" xfId="0" applyFont="1" applyBorder="1" applyAlignment="1">
      <alignment/>
    </xf>
    <xf numFmtId="0" fontId="97" fillId="0" borderId="15" xfId="0" applyFont="1" applyBorder="1" applyAlignment="1">
      <alignment/>
    </xf>
    <xf numFmtId="0" fontId="7" fillId="0" borderId="16" xfId="0" applyFont="1" applyBorder="1" applyAlignment="1">
      <alignment/>
    </xf>
    <xf numFmtId="0" fontId="97" fillId="0" borderId="16" xfId="0" applyFont="1" applyBorder="1" applyAlignment="1">
      <alignment/>
    </xf>
    <xf numFmtId="0" fontId="97" fillId="0" borderId="16" xfId="0" applyFont="1" applyBorder="1" applyAlignment="1">
      <alignment vertical="center"/>
    </xf>
    <xf numFmtId="0" fontId="97" fillId="0" borderId="0" xfId="0" applyFont="1" applyBorder="1" applyAlignment="1">
      <alignment vertical="center"/>
    </xf>
    <xf numFmtId="0" fontId="97" fillId="0" borderId="15" xfId="0" applyFont="1" applyBorder="1" applyAlignment="1">
      <alignment vertical="center"/>
    </xf>
    <xf numFmtId="0" fontId="97" fillId="0" borderId="17" xfId="0" applyFont="1" applyBorder="1" applyAlignment="1">
      <alignment vertical="center"/>
    </xf>
    <xf numFmtId="0" fontId="97" fillId="0" borderId="18" xfId="0" applyFont="1" applyBorder="1" applyAlignment="1">
      <alignment vertical="center"/>
    </xf>
    <xf numFmtId="0" fontId="97" fillId="0" borderId="19" xfId="0" applyFont="1" applyBorder="1" applyAlignment="1">
      <alignment vertical="center"/>
    </xf>
    <xf numFmtId="0" fontId="97" fillId="0" borderId="12" xfId="0" applyFont="1" applyBorder="1" applyAlignment="1">
      <alignment/>
    </xf>
    <xf numFmtId="0" fontId="97" fillId="0" borderId="13" xfId="0" applyFont="1" applyBorder="1" applyAlignment="1">
      <alignment/>
    </xf>
    <xf numFmtId="0" fontId="97" fillId="0" borderId="14" xfId="0" applyFont="1" applyBorder="1" applyAlignment="1">
      <alignment/>
    </xf>
    <xf numFmtId="0" fontId="97" fillId="0" borderId="0" xfId="0" applyFont="1" applyAlignment="1">
      <alignment/>
    </xf>
    <xf numFmtId="0" fontId="98" fillId="0" borderId="0" xfId="0" applyFont="1" applyAlignment="1">
      <alignment/>
    </xf>
    <xf numFmtId="0" fontId="97" fillId="0" borderId="0" xfId="0" applyFont="1" applyAlignment="1">
      <alignment vertical="center"/>
    </xf>
    <xf numFmtId="0" fontId="99" fillId="0" borderId="0" xfId="0" applyFont="1" applyBorder="1" applyAlignment="1">
      <alignment horizontal="right"/>
    </xf>
    <xf numFmtId="0" fontId="96" fillId="34" borderId="16" xfId="0" applyFont="1" applyFill="1" applyBorder="1" applyAlignment="1">
      <alignment/>
    </xf>
    <xf numFmtId="0" fontId="100" fillId="34" borderId="0" xfId="0" applyFont="1" applyFill="1" applyBorder="1" applyAlignment="1">
      <alignment/>
    </xf>
    <xf numFmtId="0" fontId="96" fillId="34" borderId="0" xfId="0" applyFont="1" applyFill="1" applyBorder="1" applyAlignment="1">
      <alignment/>
    </xf>
    <xf numFmtId="0" fontId="96" fillId="34" borderId="15" xfId="0" applyFont="1" applyFill="1" applyBorder="1" applyAlignment="1">
      <alignment/>
    </xf>
    <xf numFmtId="0" fontId="96" fillId="34" borderId="17" xfId="0" applyFont="1" applyFill="1" applyBorder="1" applyAlignment="1">
      <alignment/>
    </xf>
    <xf numFmtId="0" fontId="96" fillId="34" borderId="18" xfId="0" applyFont="1" applyFill="1" applyBorder="1" applyAlignment="1">
      <alignment/>
    </xf>
    <xf numFmtId="0" fontId="96" fillId="34" borderId="19" xfId="0" applyFont="1" applyFill="1" applyBorder="1" applyAlignment="1">
      <alignment/>
    </xf>
    <xf numFmtId="0" fontId="7" fillId="0" borderId="0" xfId="0" applyFont="1" applyBorder="1" applyAlignment="1">
      <alignment horizontal="right" vertical="center"/>
    </xf>
    <xf numFmtId="0" fontId="4" fillId="0" borderId="20" xfId="0" applyFont="1" applyBorder="1" applyAlignment="1">
      <alignment horizontal="left" vertical="center"/>
    </xf>
    <xf numFmtId="14" fontId="6" fillId="0" borderId="10" xfId="0" applyNumberFormat="1"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vertical="top"/>
    </xf>
    <xf numFmtId="0" fontId="4" fillId="0" borderId="15" xfId="0" applyFont="1" applyBorder="1" applyAlignment="1">
      <alignment vertical="top"/>
    </xf>
    <xf numFmtId="0" fontId="97" fillId="0" borderId="16" xfId="0" applyFont="1" applyBorder="1" applyAlignment="1">
      <alignment horizontal="left"/>
    </xf>
    <xf numFmtId="0" fontId="88" fillId="0" borderId="0" xfId="0" applyFont="1" applyAlignment="1">
      <alignment/>
    </xf>
    <xf numFmtId="0" fontId="98" fillId="0" borderId="0" xfId="0" applyFont="1" applyAlignment="1">
      <alignment horizontal="center"/>
    </xf>
    <xf numFmtId="0" fontId="98" fillId="0" borderId="0" xfId="0" applyFont="1" applyBorder="1" applyAlignment="1">
      <alignment horizontal="center" vertical="center"/>
    </xf>
    <xf numFmtId="0" fontId="88" fillId="0" borderId="0" xfId="0" applyFont="1" applyBorder="1" applyAlignment="1">
      <alignment/>
    </xf>
    <xf numFmtId="0" fontId="71" fillId="0" borderId="0" xfId="0" applyFont="1" applyBorder="1" applyAlignment="1">
      <alignment/>
    </xf>
    <xf numFmtId="0" fontId="71" fillId="0" borderId="21" xfId="0" applyFont="1" applyBorder="1" applyAlignment="1">
      <alignment horizontal="right" vertical="center"/>
    </xf>
    <xf numFmtId="0" fontId="86" fillId="0" borderId="21" xfId="0" applyFont="1" applyBorder="1" applyAlignment="1">
      <alignment horizontal="right" vertical="center"/>
    </xf>
    <xf numFmtId="0" fontId="71" fillId="18" borderId="10" xfId="0" applyFont="1" applyFill="1" applyBorder="1" applyAlignment="1">
      <alignment horizontal="center" vertical="center"/>
    </xf>
    <xf numFmtId="0" fontId="101" fillId="18" borderId="10" xfId="0" applyFont="1" applyFill="1" applyBorder="1" applyAlignment="1">
      <alignment horizontal="center" vertical="center"/>
    </xf>
    <xf numFmtId="0" fontId="86" fillId="18" borderId="10" xfId="0" applyFont="1" applyFill="1" applyBorder="1" applyAlignment="1">
      <alignment horizontal="center" vertical="center"/>
    </xf>
    <xf numFmtId="0" fontId="102" fillId="18" borderId="11" xfId="0" applyFont="1" applyFill="1" applyBorder="1" applyAlignment="1">
      <alignment horizontal="center" vertical="center"/>
    </xf>
    <xf numFmtId="14" fontId="93" fillId="33" borderId="21" xfId="0" applyNumberFormat="1" applyFont="1" applyFill="1" applyBorder="1" applyAlignment="1">
      <alignment horizontal="center" vertical="center"/>
    </xf>
    <xf numFmtId="0" fontId="71" fillId="35" borderId="0" xfId="0" applyFont="1" applyFill="1" applyAlignment="1">
      <alignment horizontal="center" vertical="center"/>
    </xf>
    <xf numFmtId="0" fontId="71" fillId="0" borderId="0" xfId="0" applyFont="1" applyFill="1" applyAlignment="1">
      <alignment horizontal="center" vertical="center"/>
    </xf>
    <xf numFmtId="0" fontId="103" fillId="0" borderId="10" xfId="0" applyFont="1" applyBorder="1" applyAlignment="1">
      <alignment horizontal="center" vertical="center" wrapText="1"/>
    </xf>
    <xf numFmtId="0" fontId="93" fillId="36" borderId="10" xfId="0" applyFont="1" applyFill="1" applyBorder="1" applyAlignment="1">
      <alignment horizontal="center" vertical="center"/>
    </xf>
    <xf numFmtId="0" fontId="88" fillId="0" borderId="10" xfId="0" applyFont="1" applyBorder="1" applyAlignment="1">
      <alignment horizontal="center" vertical="center"/>
    </xf>
    <xf numFmtId="0" fontId="71" fillId="0" borderId="0" xfId="0" applyFont="1" applyAlignment="1">
      <alignment horizontal="center" vertical="center"/>
    </xf>
    <xf numFmtId="0" fontId="92" fillId="6" borderId="10" xfId="0" applyFont="1" applyFill="1" applyBorder="1" applyAlignment="1">
      <alignment horizontal="center" vertical="center"/>
    </xf>
    <xf numFmtId="0" fontId="71" fillId="37" borderId="10" xfId="0" applyFont="1" applyFill="1" applyBorder="1" applyAlignment="1">
      <alignment horizontal="center" vertical="center"/>
    </xf>
    <xf numFmtId="0" fontId="87" fillId="37" borderId="10" xfId="0" applyFont="1" applyFill="1" applyBorder="1" applyAlignment="1">
      <alignment horizontal="center" vertical="center"/>
    </xf>
    <xf numFmtId="0" fontId="93" fillId="33" borderId="10" xfId="0" applyFont="1" applyFill="1" applyBorder="1" applyAlignment="1">
      <alignment horizontal="center" vertical="center"/>
    </xf>
    <xf numFmtId="0" fontId="90" fillId="33" borderId="10" xfId="0" applyFont="1" applyFill="1" applyBorder="1" applyAlignment="1">
      <alignment horizontal="center" vertical="center"/>
    </xf>
    <xf numFmtId="0" fontId="93" fillId="38" borderId="10" xfId="0" applyFont="1" applyFill="1" applyBorder="1" applyAlignment="1">
      <alignment horizontal="center" vertical="center"/>
    </xf>
    <xf numFmtId="0" fontId="90" fillId="38" borderId="10" xfId="0" applyFont="1" applyFill="1" applyBorder="1" applyAlignment="1">
      <alignment horizontal="center" vertical="center"/>
    </xf>
    <xf numFmtId="0" fontId="104" fillId="33" borderId="10" xfId="0" applyFont="1" applyFill="1" applyBorder="1" applyAlignment="1">
      <alignment horizontal="center" vertical="center"/>
    </xf>
    <xf numFmtId="0" fontId="105" fillId="33" borderId="10" xfId="0" applyFont="1" applyFill="1" applyBorder="1" applyAlignment="1">
      <alignment horizontal="center" vertical="center"/>
    </xf>
    <xf numFmtId="0" fontId="102" fillId="33" borderId="10" xfId="0" applyFont="1" applyFill="1" applyBorder="1" applyAlignment="1">
      <alignment horizontal="center" vertical="center"/>
    </xf>
    <xf numFmtId="0" fontId="88" fillId="33" borderId="10" xfId="0" applyFont="1" applyFill="1" applyBorder="1" applyAlignment="1">
      <alignment horizontal="center" vertical="center" wrapText="1"/>
    </xf>
    <xf numFmtId="0" fontId="86" fillId="33" borderId="10" xfId="0" applyFont="1" applyFill="1" applyBorder="1" applyAlignment="1">
      <alignment horizontal="center" vertical="center"/>
    </xf>
    <xf numFmtId="2" fontId="106" fillId="0" borderId="0" xfId="0" applyNumberFormat="1" applyFont="1" applyBorder="1" applyAlignment="1">
      <alignment horizontal="right"/>
    </xf>
    <xf numFmtId="2" fontId="71" fillId="37" borderId="10" xfId="0" applyNumberFormat="1" applyFont="1" applyFill="1" applyBorder="1" applyAlignment="1">
      <alignment horizontal="center" vertical="center"/>
    </xf>
    <xf numFmtId="0" fontId="91" fillId="37" borderId="10" xfId="0" applyFont="1" applyFill="1" applyBorder="1" applyAlignment="1">
      <alignment horizontal="center" vertical="center"/>
    </xf>
    <xf numFmtId="0" fontId="86" fillId="39" borderId="10" xfId="0" applyFont="1" applyFill="1" applyBorder="1" applyAlignment="1">
      <alignment horizontal="center" vertical="center"/>
    </xf>
    <xf numFmtId="0" fontId="102" fillId="39" borderId="10" xfId="0" applyFont="1" applyFill="1" applyBorder="1" applyAlignment="1">
      <alignment horizontal="center" vertical="center"/>
    </xf>
    <xf numFmtId="0" fontId="107" fillId="37" borderId="10" xfId="0" applyFont="1" applyFill="1" applyBorder="1" applyAlignment="1">
      <alignment horizontal="center" vertical="center"/>
    </xf>
    <xf numFmtId="0" fontId="108" fillId="38" borderId="11" xfId="0" applyFont="1" applyFill="1" applyBorder="1" applyAlignment="1">
      <alignment vertical="center"/>
    </xf>
    <xf numFmtId="0" fontId="86" fillId="12" borderId="10" xfId="0" applyFont="1" applyFill="1" applyBorder="1" applyAlignment="1">
      <alignment horizontal="center" vertical="center"/>
    </xf>
    <xf numFmtId="0" fontId="92" fillId="6" borderId="10" xfId="0" applyFont="1" applyFill="1" applyBorder="1" applyAlignment="1">
      <alignment horizontal="center" vertical="center" textRotation="90"/>
    </xf>
    <xf numFmtId="0" fontId="92" fillId="7" borderId="10" xfId="0" applyFont="1" applyFill="1" applyBorder="1" applyAlignment="1">
      <alignment horizontal="center" vertical="center" textRotation="90"/>
    </xf>
    <xf numFmtId="0" fontId="86" fillId="12" borderId="10" xfId="0" applyFont="1" applyFill="1" applyBorder="1" applyAlignment="1">
      <alignment horizontal="center" vertical="center"/>
    </xf>
    <xf numFmtId="0" fontId="88" fillId="0" borderId="10" xfId="0" applyFont="1" applyBorder="1" applyAlignment="1">
      <alignment horizontal="center" vertical="center"/>
    </xf>
    <xf numFmtId="0" fontId="88" fillId="0" borderId="0" xfId="0" applyFont="1" applyAlignment="1">
      <alignment horizontal="center" vertical="center"/>
    </xf>
    <xf numFmtId="0" fontId="91" fillId="7" borderId="10" xfId="0" applyFont="1" applyFill="1" applyBorder="1" applyAlignment="1">
      <alignment horizontal="center" vertical="center"/>
    </xf>
    <xf numFmtId="0" fontId="88" fillId="0" borderId="10" xfId="0" applyFont="1" applyBorder="1" applyAlignment="1">
      <alignment horizontal="center" vertical="center"/>
    </xf>
    <xf numFmtId="0" fontId="91" fillId="6" borderId="10" xfId="0" applyFont="1" applyFill="1" applyBorder="1" applyAlignment="1">
      <alignment horizontal="center" vertical="center"/>
    </xf>
    <xf numFmtId="0" fontId="109" fillId="6" borderId="10" xfId="0" applyFont="1" applyFill="1" applyBorder="1" applyAlignment="1">
      <alignment horizontal="center" vertical="center"/>
    </xf>
    <xf numFmtId="0" fontId="88" fillId="0" borderId="10" xfId="0" applyFont="1" applyBorder="1" applyAlignment="1">
      <alignment horizontal="center" vertical="center" wrapText="1"/>
    </xf>
    <xf numFmtId="0" fontId="71" fillId="38" borderId="10" xfId="0" applyFont="1" applyFill="1" applyBorder="1" applyAlignment="1">
      <alignment horizontal="center" vertical="center" wrapText="1"/>
    </xf>
    <xf numFmtId="0" fontId="86" fillId="12" borderId="10" xfId="0" applyFont="1" applyFill="1" applyBorder="1" applyAlignment="1">
      <alignment horizontal="center" vertical="center"/>
    </xf>
    <xf numFmtId="0" fontId="86" fillId="0" borderId="0" xfId="0" applyFont="1" applyAlignment="1">
      <alignment horizontal="center" vertical="center"/>
    </xf>
    <xf numFmtId="0" fontId="71" fillId="0" borderId="0" xfId="0" applyFont="1" applyAlignment="1">
      <alignment horizontal="center" vertical="center"/>
    </xf>
    <xf numFmtId="0" fontId="86" fillId="40" borderId="21" xfId="0" applyFont="1" applyFill="1" applyBorder="1" applyAlignment="1">
      <alignment horizontal="right" vertical="center"/>
    </xf>
    <xf numFmtId="0" fontId="86" fillId="40" borderId="11" xfId="0" applyFont="1" applyFill="1" applyBorder="1" applyAlignment="1">
      <alignment horizontal="left" vertical="center"/>
    </xf>
    <xf numFmtId="0" fontId="71" fillId="6" borderId="10" xfId="0" applyFont="1" applyFill="1" applyBorder="1" applyAlignment="1">
      <alignment horizontal="center" vertical="center"/>
    </xf>
    <xf numFmtId="0" fontId="110" fillId="6" borderId="10" xfId="0" applyFont="1" applyFill="1" applyBorder="1" applyAlignment="1">
      <alignment horizontal="center" vertical="center"/>
    </xf>
    <xf numFmtId="0" fontId="110" fillId="6" borderId="21" xfId="0" applyFont="1" applyFill="1" applyBorder="1" applyAlignment="1">
      <alignment horizontal="center" vertical="center"/>
    </xf>
    <xf numFmtId="0" fontId="71" fillId="6" borderId="21" xfId="0" applyFont="1" applyFill="1" applyBorder="1" applyAlignment="1">
      <alignment horizontal="center" vertical="center"/>
    </xf>
    <xf numFmtId="165" fontId="91" fillId="0" borderId="0" xfId="0" applyNumberFormat="1" applyFont="1" applyFill="1" applyBorder="1" applyAlignment="1">
      <alignment horizontal="center" vertical="center"/>
    </xf>
    <xf numFmtId="2" fontId="91" fillId="0" borderId="0" xfId="0" applyNumberFormat="1" applyFont="1" applyFill="1" applyBorder="1" applyAlignment="1">
      <alignment horizontal="center" vertical="center"/>
    </xf>
    <xf numFmtId="0" fontId="91"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71" fillId="0" borderId="0" xfId="0" applyFont="1" applyFill="1" applyBorder="1" applyAlignment="1">
      <alignment horizontal="center" vertical="center"/>
    </xf>
    <xf numFmtId="165" fontId="92" fillId="0" borderId="0" xfId="0" applyNumberFormat="1" applyFont="1" applyFill="1" applyBorder="1" applyAlignment="1">
      <alignment horizontal="center" vertical="center"/>
    </xf>
    <xf numFmtId="0" fontId="91" fillId="0" borderId="22" xfId="0" applyFont="1" applyFill="1" applyBorder="1" applyAlignment="1">
      <alignment vertical="center"/>
    </xf>
    <xf numFmtId="2" fontId="88" fillId="0" borderId="0" xfId="0" applyNumberFormat="1" applyFont="1" applyAlignment="1">
      <alignment vertical="center"/>
    </xf>
    <xf numFmtId="0" fontId="86" fillId="41" borderId="10" xfId="0" applyFont="1" applyFill="1" applyBorder="1" applyAlignment="1">
      <alignment horizontal="center" vertical="center"/>
    </xf>
    <xf numFmtId="0" fontId="102" fillId="41" borderId="11" xfId="0" applyFont="1" applyFill="1" applyBorder="1" applyAlignment="1">
      <alignment horizontal="center" vertical="center"/>
    </xf>
    <xf numFmtId="0" fontId="88" fillId="0" borderId="0" xfId="0" applyFont="1" applyAlignment="1">
      <alignment horizontal="center" vertical="center"/>
    </xf>
    <xf numFmtId="0" fontId="88" fillId="0" borderId="10" xfId="0" applyFont="1" applyBorder="1" applyAlignment="1">
      <alignment horizontal="center" vertical="center"/>
    </xf>
    <xf numFmtId="1" fontId="106" fillId="0" borderId="0" xfId="0" applyNumberFormat="1" applyFont="1" applyBorder="1" applyAlignment="1">
      <alignment horizontal="right"/>
    </xf>
    <xf numFmtId="0" fontId="88" fillId="38" borderId="10" xfId="0" applyFont="1" applyFill="1" applyBorder="1" applyAlignment="1">
      <alignment horizontal="center" vertical="center"/>
    </xf>
    <xf numFmtId="49" fontId="88" fillId="38" borderId="10" xfId="0" applyNumberFormat="1" applyFont="1" applyFill="1" applyBorder="1" applyAlignment="1">
      <alignment horizontal="center" vertical="center"/>
    </xf>
    <xf numFmtId="0" fontId="86" fillId="37" borderId="10" xfId="0" applyFont="1" applyFill="1" applyBorder="1" applyAlignment="1">
      <alignment horizontal="center" vertical="center"/>
    </xf>
    <xf numFmtId="0" fontId="97" fillId="0" borderId="16" xfId="0" applyFont="1" applyBorder="1" applyAlignment="1">
      <alignment/>
    </xf>
    <xf numFmtId="0" fontId="97" fillId="0" borderId="0" xfId="0" applyFont="1" applyBorder="1" applyAlignment="1">
      <alignment/>
    </xf>
    <xf numFmtId="0" fontId="71" fillId="0" borderId="0" xfId="0" applyFont="1" applyAlignment="1">
      <alignment horizontal="center" vertical="center"/>
    </xf>
    <xf numFmtId="0" fontId="97" fillId="0" borderId="15" xfId="0" applyFont="1" applyBorder="1" applyAlignment="1">
      <alignment/>
    </xf>
    <xf numFmtId="0" fontId="97" fillId="39" borderId="0" xfId="0" applyFont="1" applyFill="1" applyAlignment="1">
      <alignment/>
    </xf>
    <xf numFmtId="0" fontId="97" fillId="39" borderId="16" xfId="0" applyFont="1" applyFill="1" applyBorder="1" applyAlignment="1">
      <alignment/>
    </xf>
    <xf numFmtId="0" fontId="86" fillId="12" borderId="10" xfId="0" applyFont="1" applyFill="1" applyBorder="1" applyAlignment="1">
      <alignment horizontal="center" vertical="center"/>
    </xf>
    <xf numFmtId="0" fontId="88" fillId="0" borderId="0" xfId="0" applyFont="1" applyAlignment="1">
      <alignment horizontal="center" vertical="center"/>
    </xf>
    <xf numFmtId="0" fontId="93" fillId="0" borderId="10" xfId="0" applyFont="1" applyBorder="1" applyAlignment="1">
      <alignment horizontal="center" vertical="center"/>
    </xf>
    <xf numFmtId="0" fontId="91" fillId="0" borderId="10" xfId="0" applyFont="1" applyBorder="1" applyAlignment="1">
      <alignment horizontal="center" vertical="center"/>
    </xf>
    <xf numFmtId="0" fontId="86" fillId="0" borderId="0" xfId="0" applyFont="1" applyAlignment="1">
      <alignment horizontal="center" vertical="center"/>
    </xf>
    <xf numFmtId="0" fontId="71" fillId="0" borderId="0" xfId="0" applyFont="1" applyAlignment="1">
      <alignment horizontal="center" vertical="center"/>
    </xf>
    <xf numFmtId="0" fontId="108" fillId="0" borderId="10" xfId="0" applyFont="1" applyBorder="1" applyAlignment="1">
      <alignment horizontal="center" vertical="center"/>
    </xf>
    <xf numFmtId="0" fontId="108"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88" fillId="0" borderId="0" xfId="0" applyFont="1" applyAlignment="1">
      <alignment horizontal="center" vertical="center"/>
    </xf>
    <xf numFmtId="0" fontId="71" fillId="0" borderId="0" xfId="0" applyFont="1" applyAlignment="1">
      <alignment horizontal="center" vertical="center" wrapText="1"/>
    </xf>
    <xf numFmtId="0" fontId="93" fillId="0" borderId="0" xfId="0" applyFont="1" applyAlignment="1">
      <alignment horizontal="center" vertical="center"/>
    </xf>
    <xf numFmtId="0" fontId="92" fillId="0" borderId="10" xfId="0" applyFont="1" applyBorder="1" applyAlignment="1">
      <alignment horizontal="center" vertical="center"/>
    </xf>
    <xf numFmtId="0" fontId="86" fillId="0" borderId="0" xfId="0" applyFont="1" applyAlignment="1">
      <alignment horizontal="left" vertical="center"/>
    </xf>
    <xf numFmtId="0" fontId="92" fillId="0" borderId="0" xfId="0" applyFont="1" applyAlignment="1">
      <alignment horizontal="center" vertical="center" wrapText="1"/>
    </xf>
    <xf numFmtId="0" fontId="108" fillId="0" borderId="0" xfId="0" applyFont="1" applyAlignment="1">
      <alignment horizontal="center" vertical="center"/>
    </xf>
    <xf numFmtId="0" fontId="108" fillId="0" borderId="0" xfId="0" applyFont="1" applyAlignment="1">
      <alignment horizontal="center" vertical="center" wrapText="1"/>
    </xf>
    <xf numFmtId="14" fontId="93" fillId="0" borderId="0" xfId="0" applyNumberFormat="1" applyFont="1" applyAlignment="1">
      <alignment horizontal="center" vertical="center"/>
    </xf>
    <xf numFmtId="0" fontId="93" fillId="0" borderId="0" xfId="0" applyFont="1" applyAlignment="1">
      <alignment horizontal="left" vertical="center"/>
    </xf>
    <xf numFmtId="2" fontId="93" fillId="0" borderId="10" xfId="0" applyNumberFormat="1" applyFont="1" applyBorder="1" applyAlignment="1">
      <alignment horizontal="center" vertical="center"/>
    </xf>
    <xf numFmtId="2" fontId="108" fillId="0" borderId="10" xfId="0" applyNumberFormat="1" applyFont="1" applyBorder="1" applyAlignment="1">
      <alignment horizontal="center" vertical="center"/>
    </xf>
    <xf numFmtId="14" fontId="88" fillId="0" borderId="10" xfId="0" applyNumberFormat="1" applyFont="1" applyBorder="1" applyAlignment="1">
      <alignment horizontal="center" vertical="center"/>
    </xf>
    <xf numFmtId="14" fontId="88" fillId="0" borderId="0" xfId="0" applyNumberFormat="1" applyFont="1" applyAlignment="1">
      <alignment horizontal="center" vertical="center"/>
    </xf>
    <xf numFmtId="14" fontId="93" fillId="0" borderId="10" xfId="0" applyNumberFormat="1" applyFont="1" applyBorder="1" applyAlignment="1">
      <alignment horizontal="center" vertical="center"/>
    </xf>
    <xf numFmtId="0" fontId="91" fillId="0" borderId="0" xfId="0" applyFont="1" applyFill="1" applyBorder="1" applyAlignment="1">
      <alignment horizontal="center" vertical="center"/>
    </xf>
    <xf numFmtId="0" fontId="91" fillId="6" borderId="10" xfId="0" applyFont="1" applyFill="1" applyBorder="1" applyAlignment="1">
      <alignment horizontal="center" vertical="center"/>
    </xf>
    <xf numFmtId="0" fontId="93" fillId="0" borderId="10" xfId="0" applyFont="1" applyBorder="1" applyAlignment="1">
      <alignment horizontal="center" vertical="center"/>
    </xf>
    <xf numFmtId="0" fontId="93" fillId="13" borderId="10" xfId="0" applyFont="1" applyFill="1" applyBorder="1" applyAlignment="1">
      <alignment horizontal="center" vertical="center" wrapText="1"/>
    </xf>
    <xf numFmtId="0" fontId="88" fillId="13" borderId="10" xfId="0" applyFont="1" applyFill="1" applyBorder="1" applyAlignment="1">
      <alignment horizontal="center" vertical="center"/>
    </xf>
    <xf numFmtId="0" fontId="91" fillId="0" borderId="10" xfId="0" applyFont="1" applyFill="1" applyBorder="1" applyAlignment="1">
      <alignment horizontal="center" vertical="center"/>
    </xf>
    <xf numFmtId="0" fontId="71" fillId="42" borderId="10" xfId="0" applyFont="1" applyFill="1" applyBorder="1" applyAlignment="1">
      <alignment horizontal="center" vertical="center"/>
    </xf>
    <xf numFmtId="0" fontId="86" fillId="37" borderId="10" xfId="0" applyFont="1" applyFill="1" applyBorder="1" applyAlignment="1">
      <alignment horizontal="center" vertical="center"/>
    </xf>
    <xf numFmtId="0" fontId="86" fillId="12" borderId="10" xfId="0" applyFont="1" applyFill="1" applyBorder="1" applyAlignment="1">
      <alignment horizontal="center" vertical="center"/>
    </xf>
    <xf numFmtId="0" fontId="91" fillId="37" borderId="10" xfId="0" applyFont="1" applyFill="1" applyBorder="1" applyAlignment="1">
      <alignment horizontal="center" vertical="center"/>
    </xf>
    <xf numFmtId="0" fontId="88" fillId="0" borderId="0" xfId="0" applyFont="1" applyAlignment="1">
      <alignment horizontal="center" vertical="center"/>
    </xf>
    <xf numFmtId="0" fontId="71" fillId="0" borderId="0" xfId="0" applyFont="1" applyAlignment="1">
      <alignment horizontal="center" vertical="center"/>
    </xf>
    <xf numFmtId="0" fontId="86" fillId="0" borderId="0" xfId="0" applyFont="1" applyFill="1" applyBorder="1" applyAlignment="1">
      <alignment vertical="center"/>
    </xf>
    <xf numFmtId="0" fontId="111" fillId="0" borderId="0" xfId="0" applyFont="1" applyFill="1" applyBorder="1" applyAlignment="1">
      <alignment vertical="center" wrapText="1"/>
    </xf>
    <xf numFmtId="0" fontId="101" fillId="0" borderId="0" xfId="0" applyFont="1" applyFill="1" applyBorder="1" applyAlignment="1">
      <alignment vertical="center" wrapText="1"/>
    </xf>
    <xf numFmtId="0" fontId="112" fillId="0" borderId="10" xfId="0" applyFont="1" applyBorder="1" applyAlignment="1">
      <alignment horizontal="center" vertical="center" shrinkToFit="1"/>
    </xf>
    <xf numFmtId="0" fontId="88" fillId="0" borderId="10" xfId="0" applyFont="1" applyBorder="1" applyAlignment="1">
      <alignment horizontal="center" vertical="center" shrinkToFit="1"/>
    </xf>
    <xf numFmtId="1" fontId="113" fillId="0" borderId="10" xfId="0" applyNumberFormat="1" applyFont="1" applyBorder="1" applyAlignment="1">
      <alignment horizontal="center" vertical="center" shrinkToFit="1"/>
    </xf>
    <xf numFmtId="0" fontId="114" fillId="0" borderId="10" xfId="0" applyFont="1" applyBorder="1" applyAlignment="1">
      <alignment horizontal="center" vertical="center" shrinkToFit="1"/>
    </xf>
    <xf numFmtId="0" fontId="115" fillId="0" borderId="10" xfId="0" applyFont="1" applyBorder="1" applyAlignment="1">
      <alignment horizontal="center" vertical="center" shrinkToFit="1"/>
    </xf>
    <xf numFmtId="2" fontId="113" fillId="0" borderId="10" xfId="0" applyNumberFormat="1" applyFont="1" applyBorder="1" applyAlignment="1">
      <alignment horizontal="center" vertical="center" shrinkToFit="1"/>
    </xf>
    <xf numFmtId="0" fontId="116" fillId="0" borderId="10" xfId="0" applyFont="1" applyBorder="1" applyAlignment="1">
      <alignment horizontal="center" vertical="center" shrinkToFit="1"/>
    </xf>
    <xf numFmtId="2" fontId="113" fillId="38" borderId="10" xfId="0" applyNumberFormat="1" applyFont="1" applyFill="1" applyBorder="1" applyAlignment="1">
      <alignment horizontal="center" vertical="center" shrinkToFit="1"/>
    </xf>
    <xf numFmtId="2" fontId="113" fillId="36" borderId="10" xfId="0" applyNumberFormat="1" applyFont="1" applyFill="1" applyBorder="1" applyAlignment="1">
      <alignment horizontal="center" vertical="center" shrinkToFit="1"/>
    </xf>
    <xf numFmtId="1" fontId="116" fillId="0" borderId="10" xfId="0" applyNumberFormat="1" applyFont="1" applyBorder="1" applyAlignment="1">
      <alignment horizontal="center" vertical="center" shrinkToFit="1"/>
    </xf>
    <xf numFmtId="1" fontId="115" fillId="0" borderId="10" xfId="0" applyNumberFormat="1" applyFont="1" applyBorder="1" applyAlignment="1">
      <alignment horizontal="center" vertical="center" shrinkToFit="1"/>
    </xf>
    <xf numFmtId="2" fontId="117" fillId="0" borderId="10" xfId="0" applyNumberFormat="1" applyFont="1" applyBorder="1" applyAlignment="1">
      <alignment horizontal="center" vertical="center" shrinkToFit="1"/>
    </xf>
    <xf numFmtId="2" fontId="71" fillId="0" borderId="10" xfId="0" applyNumberFormat="1" applyFont="1" applyBorder="1" applyAlignment="1">
      <alignment horizontal="center" vertical="center" shrinkToFit="1"/>
    </xf>
    <xf numFmtId="2" fontId="86" fillId="0" borderId="10" xfId="0" applyNumberFormat="1"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0" xfId="0" applyFont="1" applyFill="1" applyAlignment="1">
      <alignment/>
    </xf>
    <xf numFmtId="0" fontId="94" fillId="0" borderId="0" xfId="0" applyFont="1" applyFill="1" applyBorder="1" applyAlignment="1">
      <alignment horizontal="center" vertical="center"/>
    </xf>
    <xf numFmtId="0" fontId="110" fillId="0" borderId="0" xfId="0" applyFont="1" applyAlignment="1">
      <alignment vertical="center"/>
    </xf>
    <xf numFmtId="0" fontId="118" fillId="32" borderId="0" xfId="0" applyFont="1" applyFill="1" applyAlignment="1">
      <alignment horizontal="center" vertical="center"/>
    </xf>
    <xf numFmtId="0" fontId="119" fillId="32" borderId="0" xfId="0" applyFont="1" applyFill="1" applyAlignment="1">
      <alignment horizontal="center" vertical="center" wrapText="1"/>
    </xf>
    <xf numFmtId="0" fontId="119" fillId="32" borderId="0" xfId="0" applyFont="1" applyFill="1" applyAlignment="1">
      <alignment horizontal="center" vertical="center"/>
    </xf>
    <xf numFmtId="0" fontId="120" fillId="32" borderId="0" xfId="0" applyFont="1" applyFill="1" applyAlignment="1">
      <alignment horizontal="justify" vertical="top" wrapText="1"/>
    </xf>
    <xf numFmtId="0" fontId="120" fillId="10" borderId="12" xfId="0" applyFont="1" applyFill="1" applyBorder="1" applyAlignment="1">
      <alignment horizontal="center" vertical="center" wrapText="1"/>
    </xf>
    <xf numFmtId="0" fontId="120" fillId="10" borderId="13" xfId="0" applyFont="1" applyFill="1" applyBorder="1" applyAlignment="1">
      <alignment horizontal="center" vertical="center" wrapText="1"/>
    </xf>
    <xf numFmtId="0" fontId="120" fillId="10" borderId="14" xfId="0" applyFont="1" applyFill="1" applyBorder="1" applyAlignment="1">
      <alignment horizontal="center" vertical="center" wrapText="1"/>
    </xf>
    <xf numFmtId="0" fontId="120" fillId="10" borderId="16" xfId="0" applyFont="1" applyFill="1" applyBorder="1" applyAlignment="1">
      <alignment horizontal="center" vertical="center" wrapText="1"/>
    </xf>
    <xf numFmtId="0" fontId="120" fillId="10" borderId="0" xfId="0" applyFont="1" applyFill="1" applyBorder="1" applyAlignment="1">
      <alignment horizontal="center" vertical="center" wrapText="1"/>
    </xf>
    <xf numFmtId="0" fontId="120" fillId="10" borderId="15" xfId="0" applyFont="1" applyFill="1" applyBorder="1" applyAlignment="1">
      <alignment horizontal="center" vertical="center" wrapText="1"/>
    </xf>
    <xf numFmtId="0" fontId="120" fillId="10" borderId="17" xfId="0" applyFont="1" applyFill="1" applyBorder="1" applyAlignment="1">
      <alignment horizontal="center" vertical="center" wrapText="1"/>
    </xf>
    <xf numFmtId="0" fontId="120" fillId="10" borderId="18" xfId="0" applyFont="1" applyFill="1" applyBorder="1" applyAlignment="1">
      <alignment horizontal="center" vertical="center" wrapText="1"/>
    </xf>
    <xf numFmtId="0" fontId="120" fillId="10" borderId="19" xfId="0" applyFont="1" applyFill="1" applyBorder="1" applyAlignment="1">
      <alignment horizontal="center" vertical="center" wrapText="1"/>
    </xf>
    <xf numFmtId="0" fontId="86" fillId="37" borderId="10" xfId="0" applyFont="1" applyFill="1" applyBorder="1" applyAlignment="1">
      <alignment horizontal="center" vertical="center"/>
    </xf>
    <xf numFmtId="0" fontId="111" fillId="40" borderId="10" xfId="0" applyFont="1" applyFill="1" applyBorder="1" applyAlignment="1">
      <alignment horizontal="center" vertical="center" wrapText="1"/>
    </xf>
    <xf numFmtId="0" fontId="101" fillId="40" borderId="10" xfId="0" applyFont="1" applyFill="1" applyBorder="1" applyAlignment="1">
      <alignment horizontal="center" vertical="center" wrapText="1"/>
    </xf>
    <xf numFmtId="0" fontId="71" fillId="38" borderId="10" xfId="0" applyFont="1" applyFill="1" applyBorder="1" applyAlignment="1">
      <alignment horizontal="center" vertical="center"/>
    </xf>
    <xf numFmtId="165" fontId="91" fillId="37" borderId="10" xfId="0" applyNumberFormat="1" applyFont="1" applyFill="1" applyBorder="1" applyAlignment="1">
      <alignment horizontal="center" vertical="center"/>
    </xf>
    <xf numFmtId="1" fontId="91" fillId="37" borderId="10" xfId="0" applyNumberFormat="1" applyFont="1" applyFill="1" applyBorder="1" applyAlignment="1">
      <alignment horizontal="center" vertical="center"/>
    </xf>
    <xf numFmtId="165" fontId="108" fillId="38" borderId="10" xfId="0" applyNumberFormat="1" applyFont="1" applyFill="1" applyBorder="1" applyAlignment="1">
      <alignment horizontal="center" vertical="center"/>
    </xf>
    <xf numFmtId="165" fontId="91" fillId="0" borderId="0" xfId="0" applyNumberFormat="1" applyFont="1" applyFill="1" applyBorder="1" applyAlignment="1">
      <alignment horizontal="center" vertical="center"/>
    </xf>
    <xf numFmtId="0" fontId="98" fillId="0" borderId="0" xfId="0" applyFont="1" applyAlignment="1">
      <alignment horizontal="center" vertical="center"/>
    </xf>
    <xf numFmtId="0" fontId="86" fillId="33" borderId="21" xfId="0" applyFont="1" applyFill="1" applyBorder="1" applyAlignment="1">
      <alignment horizontal="center" vertical="center"/>
    </xf>
    <xf numFmtId="0" fontId="86" fillId="33" borderId="23" xfId="0" applyFont="1" applyFill="1" applyBorder="1" applyAlignment="1">
      <alignment horizontal="center" vertical="center"/>
    </xf>
    <xf numFmtId="0" fontId="92" fillId="33" borderId="10" xfId="0" applyFont="1" applyFill="1" applyBorder="1" applyAlignment="1">
      <alignment horizontal="center" vertical="center"/>
    </xf>
    <xf numFmtId="0" fontId="86" fillId="6" borderId="10" xfId="0" applyFont="1" applyFill="1" applyBorder="1" applyAlignment="1">
      <alignment horizontal="center" vertical="center"/>
    </xf>
    <xf numFmtId="0" fontId="102" fillId="37" borderId="10" xfId="0" applyFont="1" applyFill="1" applyBorder="1" applyAlignment="1">
      <alignment horizontal="center" vertical="center"/>
    </xf>
    <xf numFmtId="0" fontId="92" fillId="33" borderId="24" xfId="0" applyFont="1" applyFill="1" applyBorder="1" applyAlignment="1">
      <alignment horizontal="center" vertical="center" wrapText="1"/>
    </xf>
    <xf numFmtId="0" fontId="92" fillId="33" borderId="25" xfId="0" applyFont="1" applyFill="1" applyBorder="1" applyAlignment="1">
      <alignment horizontal="center" vertical="center" wrapText="1"/>
    </xf>
    <xf numFmtId="0" fontId="91" fillId="38" borderId="21" xfId="0" applyFont="1" applyFill="1" applyBorder="1" applyAlignment="1">
      <alignment horizontal="center" vertical="center"/>
    </xf>
    <xf numFmtId="0" fontId="91" fillId="38" borderId="23" xfId="0" applyFont="1" applyFill="1" applyBorder="1" applyAlignment="1">
      <alignment horizontal="center" vertical="center"/>
    </xf>
    <xf numFmtId="0" fontId="91" fillId="38" borderId="11" xfId="0" applyFont="1" applyFill="1" applyBorder="1" applyAlignment="1">
      <alignment horizontal="center" vertical="center"/>
    </xf>
    <xf numFmtId="0" fontId="91" fillId="0" borderId="0" xfId="0" applyFont="1" applyFill="1" applyBorder="1" applyAlignment="1">
      <alignment horizontal="center" vertical="center"/>
    </xf>
    <xf numFmtId="0" fontId="86" fillId="6" borderId="21" xfId="0" applyFont="1" applyFill="1" applyBorder="1" applyAlignment="1">
      <alignment horizontal="left" vertical="center"/>
    </xf>
    <xf numFmtId="0" fontId="86" fillId="6" borderId="23" xfId="0" applyFont="1" applyFill="1" applyBorder="1" applyAlignment="1">
      <alignment horizontal="left" vertical="center"/>
    </xf>
    <xf numFmtId="0" fontId="86" fillId="6" borderId="11" xfId="0" applyFont="1" applyFill="1" applyBorder="1" applyAlignment="1">
      <alignment horizontal="left" vertical="center"/>
    </xf>
    <xf numFmtId="0" fontId="71" fillId="7" borderId="24" xfId="0" applyFont="1" applyFill="1" applyBorder="1" applyAlignment="1">
      <alignment horizontal="center" textRotation="90"/>
    </xf>
    <xf numFmtId="0" fontId="71" fillId="7" borderId="26" xfId="0" applyFont="1" applyFill="1" applyBorder="1" applyAlignment="1">
      <alignment horizontal="center" textRotation="90"/>
    </xf>
    <xf numFmtId="0" fontId="71" fillId="7" borderId="25" xfId="0" applyFont="1" applyFill="1" applyBorder="1" applyAlignment="1">
      <alignment horizontal="center" textRotation="90"/>
    </xf>
    <xf numFmtId="0" fontId="86" fillId="6" borderId="10" xfId="0" applyFont="1" applyFill="1" applyBorder="1" applyAlignment="1">
      <alignment horizontal="left" vertical="center"/>
    </xf>
    <xf numFmtId="0" fontId="71" fillId="43" borderId="10" xfId="0" applyFont="1" applyFill="1" applyBorder="1" applyAlignment="1">
      <alignment horizontal="center" vertical="center"/>
    </xf>
    <xf numFmtId="0" fontId="86" fillId="44" borderId="10" xfId="0" applyFont="1" applyFill="1" applyBorder="1" applyAlignment="1">
      <alignment horizontal="center" vertical="center"/>
    </xf>
    <xf numFmtId="0" fontId="92" fillId="33" borderId="27" xfId="0" applyFont="1" applyFill="1" applyBorder="1" applyAlignment="1">
      <alignment horizontal="center" vertical="center" wrapText="1"/>
    </xf>
    <xf numFmtId="0" fontId="92" fillId="33" borderId="28" xfId="0" applyFont="1" applyFill="1" applyBorder="1" applyAlignment="1">
      <alignment horizontal="center" vertical="center" wrapText="1"/>
    </xf>
    <xf numFmtId="14" fontId="86" fillId="6" borderId="10" xfId="0" applyNumberFormat="1" applyFont="1" applyFill="1" applyBorder="1" applyAlignment="1">
      <alignment horizontal="center" vertical="center"/>
    </xf>
    <xf numFmtId="0" fontId="121" fillId="6" borderId="10" xfId="0" applyFont="1" applyFill="1" applyBorder="1" applyAlignment="1">
      <alignment horizontal="center" vertical="center"/>
    </xf>
    <xf numFmtId="0" fontId="122" fillId="18" borderId="10" xfId="0" applyFont="1" applyFill="1" applyBorder="1" applyAlignment="1">
      <alignment horizontal="center" vertical="center"/>
    </xf>
    <xf numFmtId="0" fontId="86" fillId="12" borderId="24" xfId="0" applyFont="1" applyFill="1" applyBorder="1" applyAlignment="1">
      <alignment horizontal="center" vertical="center"/>
    </xf>
    <xf numFmtId="0" fontId="86" fillId="12" borderId="10" xfId="0" applyFont="1" applyFill="1" applyBorder="1" applyAlignment="1">
      <alignment horizontal="center" vertical="center"/>
    </xf>
    <xf numFmtId="0" fontId="86" fillId="18" borderId="24" xfId="0" applyFont="1" applyFill="1" applyBorder="1" applyAlignment="1">
      <alignment horizontal="center" vertical="center" wrapText="1"/>
    </xf>
    <xf numFmtId="0" fontId="86" fillId="18" borderId="25" xfId="0" applyFont="1" applyFill="1" applyBorder="1" applyAlignment="1">
      <alignment horizontal="center" vertical="center" wrapText="1"/>
    </xf>
    <xf numFmtId="0" fontId="86" fillId="7" borderId="10" xfId="0" applyFont="1" applyFill="1" applyBorder="1" applyAlignment="1">
      <alignment horizontal="center" vertical="center"/>
    </xf>
    <xf numFmtId="0" fontId="94" fillId="7" borderId="10" xfId="0" applyFont="1" applyFill="1" applyBorder="1" applyAlignment="1">
      <alignment horizontal="center" vertical="center"/>
    </xf>
    <xf numFmtId="0" fontId="91" fillId="38" borderId="10" xfId="0" applyFont="1" applyFill="1" applyBorder="1" applyAlignment="1">
      <alignment horizontal="center" vertical="center"/>
    </xf>
    <xf numFmtId="0" fontId="91" fillId="37" borderId="10" xfId="0" applyFont="1" applyFill="1" applyBorder="1" applyAlignment="1">
      <alignment horizontal="center" vertical="center"/>
    </xf>
    <xf numFmtId="0" fontId="86" fillId="45" borderId="10" xfId="0" applyFont="1" applyFill="1" applyBorder="1" applyAlignment="1">
      <alignment horizontal="center" vertical="center"/>
    </xf>
    <xf numFmtId="0" fontId="123" fillId="18" borderId="10" xfId="0" applyFont="1" applyFill="1" applyBorder="1" applyAlignment="1">
      <alignment horizontal="center" vertical="center"/>
    </xf>
    <xf numFmtId="0" fontId="86" fillId="46" borderId="28" xfId="0" applyFont="1" applyFill="1" applyBorder="1" applyAlignment="1">
      <alignment horizontal="center" vertical="center"/>
    </xf>
    <xf numFmtId="0" fontId="86" fillId="47" borderId="29" xfId="0" applyFont="1" applyFill="1" applyBorder="1" applyAlignment="1">
      <alignment horizontal="center" vertical="center"/>
    </xf>
    <xf numFmtId="0" fontId="86" fillId="48" borderId="25" xfId="0" applyFont="1" applyFill="1" applyBorder="1" applyAlignment="1">
      <alignment horizontal="center" vertical="center"/>
    </xf>
    <xf numFmtId="0" fontId="86" fillId="19" borderId="10" xfId="0" applyFont="1" applyFill="1" applyBorder="1" applyAlignment="1">
      <alignment horizontal="center" vertical="center"/>
    </xf>
    <xf numFmtId="0" fontId="86" fillId="6" borderId="10" xfId="0" applyFont="1" applyFill="1" applyBorder="1" applyAlignment="1">
      <alignment horizontal="center" vertical="center" wrapText="1"/>
    </xf>
    <xf numFmtId="165" fontId="91" fillId="49" borderId="10" xfId="0" applyNumberFormat="1" applyFont="1" applyFill="1" applyBorder="1" applyAlignment="1">
      <alignment horizontal="center" vertical="center"/>
    </xf>
    <xf numFmtId="0" fontId="86" fillId="38" borderId="10" xfId="0" applyFont="1" applyFill="1" applyBorder="1" applyAlignment="1">
      <alignment horizontal="center" vertical="center"/>
    </xf>
    <xf numFmtId="2" fontId="91" fillId="37" borderId="21" xfId="0" applyNumberFormat="1" applyFont="1" applyFill="1" applyBorder="1" applyAlignment="1">
      <alignment horizontal="center" vertical="center"/>
    </xf>
    <xf numFmtId="2" fontId="91" fillId="37" borderId="23" xfId="0" applyNumberFormat="1" applyFont="1" applyFill="1" applyBorder="1" applyAlignment="1">
      <alignment horizontal="center" vertical="center"/>
    </xf>
    <xf numFmtId="2" fontId="91" fillId="37" borderId="11" xfId="0" applyNumberFormat="1" applyFont="1" applyFill="1" applyBorder="1" applyAlignment="1">
      <alignment horizontal="center" vertical="center"/>
    </xf>
    <xf numFmtId="0" fontId="71" fillId="50" borderId="10" xfId="0" applyFont="1" applyFill="1" applyBorder="1" applyAlignment="1">
      <alignment horizontal="center" vertical="center"/>
    </xf>
    <xf numFmtId="165" fontId="91" fillId="38" borderId="10" xfId="0" applyNumberFormat="1" applyFont="1" applyFill="1" applyBorder="1" applyAlignment="1">
      <alignment horizontal="center" vertical="center"/>
    </xf>
    <xf numFmtId="2" fontId="86" fillId="51" borderId="10" xfId="0" applyNumberFormat="1" applyFont="1" applyFill="1" applyBorder="1" applyAlignment="1">
      <alignment horizontal="center" vertical="center"/>
    </xf>
    <xf numFmtId="0" fontId="71" fillId="52" borderId="21" xfId="0" applyFont="1" applyFill="1" applyBorder="1" applyAlignment="1">
      <alignment horizontal="center" vertical="center"/>
    </xf>
    <xf numFmtId="0" fontId="71" fillId="53" borderId="23" xfId="0" applyFont="1" applyFill="1" applyBorder="1" applyAlignment="1">
      <alignment horizontal="center" vertical="center"/>
    </xf>
    <xf numFmtId="0" fontId="71" fillId="54" borderId="11" xfId="0" applyFont="1" applyFill="1" applyBorder="1" applyAlignment="1">
      <alignment horizontal="center" vertical="center"/>
    </xf>
    <xf numFmtId="2" fontId="75" fillId="55" borderId="10" xfId="0" applyNumberFormat="1" applyFont="1" applyFill="1" applyBorder="1" applyAlignment="1">
      <alignment horizontal="center" vertical="center"/>
    </xf>
    <xf numFmtId="0" fontId="86" fillId="0" borderId="29" xfId="0" applyFont="1" applyBorder="1" applyAlignment="1">
      <alignment horizontal="center" vertical="center"/>
    </xf>
    <xf numFmtId="0" fontId="90" fillId="0" borderId="10" xfId="0" applyFont="1" applyBorder="1" applyAlignment="1">
      <alignment horizontal="center" vertical="center"/>
    </xf>
    <xf numFmtId="0" fontId="88" fillId="0" borderId="10" xfId="0" applyFont="1" applyBorder="1" applyAlignment="1">
      <alignment horizontal="center" vertical="center"/>
    </xf>
    <xf numFmtId="0" fontId="93" fillId="0" borderId="10" xfId="0" applyFont="1" applyBorder="1" applyAlignment="1">
      <alignment horizontal="center" vertical="center"/>
    </xf>
    <xf numFmtId="0" fontId="86" fillId="0" borderId="0" xfId="0" applyFont="1" applyAlignment="1">
      <alignment horizontal="center" vertical="center"/>
    </xf>
    <xf numFmtId="0" fontId="91" fillId="0" borderId="10" xfId="0" applyFont="1" applyBorder="1" applyAlignment="1">
      <alignment horizontal="center" vertical="center" shrinkToFit="1"/>
    </xf>
    <xf numFmtId="49" fontId="93" fillId="0" borderId="10" xfId="0" applyNumberFormat="1" applyFont="1" applyBorder="1" applyAlignment="1">
      <alignment horizontal="center" vertical="center"/>
    </xf>
    <xf numFmtId="164" fontId="86" fillId="0" borderId="10" xfId="0" applyNumberFormat="1" applyFont="1" applyBorder="1" applyAlignment="1">
      <alignment horizontal="center" vertical="center"/>
    </xf>
    <xf numFmtId="0" fontId="91" fillId="0" borderId="29" xfId="0" applyFont="1" applyBorder="1" applyAlignment="1">
      <alignment horizontal="center" vertical="center"/>
    </xf>
    <xf numFmtId="0" fontId="86" fillId="0" borderId="0" xfId="0" applyFont="1" applyBorder="1" applyAlignment="1">
      <alignment horizontal="left" vertical="center"/>
    </xf>
    <xf numFmtId="0" fontId="124" fillId="56" borderId="10" xfId="0" applyFont="1" applyFill="1" applyBorder="1" applyAlignment="1">
      <alignment horizontal="center" vertical="center" wrapText="1"/>
    </xf>
    <xf numFmtId="0" fontId="91" fillId="56" borderId="10" xfId="0" applyFont="1" applyFill="1" applyBorder="1" applyAlignment="1">
      <alignment horizontal="center" vertical="center" wrapText="1"/>
    </xf>
    <xf numFmtId="0" fontId="91" fillId="36" borderId="10" xfId="0" applyFont="1" applyFill="1" applyBorder="1" applyAlignment="1">
      <alignment horizontal="center" vertical="center"/>
    </xf>
    <xf numFmtId="0" fontId="88" fillId="0" borderId="0" xfId="0" applyFont="1" applyAlignment="1">
      <alignment horizontal="center" vertical="center"/>
    </xf>
    <xf numFmtId="0" fontId="92" fillId="7" borderId="10" xfId="0" applyFont="1" applyFill="1" applyBorder="1" applyAlignment="1">
      <alignment horizontal="center" vertical="center" wrapText="1"/>
    </xf>
    <xf numFmtId="0" fontId="91" fillId="33" borderId="10" xfId="0" applyFont="1" applyFill="1" applyBorder="1" applyAlignment="1">
      <alignment horizontal="center" vertical="center"/>
    </xf>
    <xf numFmtId="0" fontId="92" fillId="33" borderId="10" xfId="0" applyFont="1" applyFill="1" applyBorder="1" applyAlignment="1">
      <alignment horizontal="center" vertical="center" wrapText="1"/>
    </xf>
    <xf numFmtId="0" fontId="91" fillId="0" borderId="10" xfId="0" applyFont="1" applyBorder="1" applyAlignment="1">
      <alignment horizontal="center" vertical="center"/>
    </xf>
    <xf numFmtId="0" fontId="86" fillId="0" borderId="23" xfId="0" applyFont="1" applyBorder="1" applyAlignment="1">
      <alignment horizontal="center" vertical="center"/>
    </xf>
    <xf numFmtId="0" fontId="91" fillId="6" borderId="10" xfId="0" applyFont="1" applyFill="1" applyBorder="1" applyAlignment="1">
      <alignment horizontal="center" vertical="center" textRotation="90" wrapText="1"/>
    </xf>
    <xf numFmtId="0" fontId="91" fillId="6" borderId="10" xfId="0" applyFont="1" applyFill="1" applyBorder="1" applyAlignment="1">
      <alignment horizontal="center" vertical="center" wrapText="1"/>
    </xf>
    <xf numFmtId="0" fontId="91" fillId="6" borderId="10" xfId="0" applyFont="1" applyFill="1" applyBorder="1" applyAlignment="1">
      <alignment horizontal="center" vertical="center"/>
    </xf>
    <xf numFmtId="0" fontId="91" fillId="6" borderId="21" xfId="0" applyFont="1" applyFill="1" applyBorder="1" applyAlignment="1">
      <alignment horizontal="center" vertical="center"/>
    </xf>
    <xf numFmtId="0" fontId="91" fillId="6" borderId="23" xfId="0" applyFont="1" applyFill="1" applyBorder="1" applyAlignment="1">
      <alignment horizontal="center" vertical="center"/>
    </xf>
    <xf numFmtId="0" fontId="91" fillId="6" borderId="11" xfId="0" applyFont="1" applyFill="1" applyBorder="1" applyAlignment="1">
      <alignment horizontal="center" vertical="center"/>
    </xf>
    <xf numFmtId="0" fontId="91" fillId="6" borderId="24" xfId="0" applyFont="1" applyFill="1" applyBorder="1" applyAlignment="1">
      <alignment horizontal="center" vertical="center" wrapText="1"/>
    </xf>
    <xf numFmtId="0" fontId="91" fillId="6" borderId="25" xfId="0" applyFont="1" applyFill="1" applyBorder="1" applyAlignment="1">
      <alignment horizontal="center" vertical="center" wrapText="1"/>
    </xf>
    <xf numFmtId="0" fontId="98" fillId="0" borderId="0" xfId="0" applyFont="1" applyAlignment="1">
      <alignment horizontal="center"/>
    </xf>
    <xf numFmtId="0" fontId="98" fillId="0" borderId="10" xfId="0" applyFont="1"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horizontal="left" vertical="center"/>
    </xf>
    <xf numFmtId="0" fontId="86" fillId="0" borderId="10" xfId="0" applyFont="1" applyBorder="1" applyAlignment="1">
      <alignment horizontal="center" vertical="center"/>
    </xf>
    <xf numFmtId="0" fontId="71" fillId="0" borderId="21" xfId="0" applyFont="1" applyBorder="1" applyAlignment="1">
      <alignment horizontal="center" vertical="center"/>
    </xf>
    <xf numFmtId="0" fontId="71" fillId="0" borderId="23" xfId="0" applyFont="1" applyBorder="1" applyAlignment="1">
      <alignment horizontal="center" vertical="center"/>
    </xf>
    <xf numFmtId="0" fontId="71" fillId="0" borderId="11" xfId="0" applyFont="1" applyBorder="1" applyAlignment="1">
      <alignment horizontal="center" vertical="center"/>
    </xf>
    <xf numFmtId="165" fontId="71" fillId="0" borderId="10" xfId="0" applyNumberFormat="1" applyFont="1" applyBorder="1" applyAlignment="1">
      <alignment horizontal="center" vertical="center"/>
    </xf>
    <xf numFmtId="0" fontId="86" fillId="0" borderId="10" xfId="0" applyFont="1" applyBorder="1" applyAlignment="1">
      <alignment horizontal="center" vertical="center" wrapText="1"/>
    </xf>
    <xf numFmtId="0" fontId="86" fillId="0" borderId="10" xfId="0" applyFont="1" applyBorder="1" applyAlignment="1">
      <alignment horizontal="center"/>
    </xf>
    <xf numFmtId="0" fontId="86" fillId="0" borderId="21" xfId="0" applyFont="1" applyBorder="1" applyAlignment="1">
      <alignment horizontal="center" vertical="center"/>
    </xf>
    <xf numFmtId="0" fontId="86" fillId="0" borderId="11" xfId="0" applyFont="1" applyBorder="1" applyAlignment="1">
      <alignment horizontal="center" vertical="center"/>
    </xf>
    <xf numFmtId="0" fontId="71" fillId="0" borderId="0" xfId="0" applyFont="1" applyAlignment="1">
      <alignment horizontal="center"/>
    </xf>
    <xf numFmtId="2" fontId="86" fillId="0" borderId="23" xfId="0" applyNumberFormat="1" applyFont="1" applyBorder="1" applyAlignment="1">
      <alignment horizontal="left" vertical="center"/>
    </xf>
    <xf numFmtId="2" fontId="86" fillId="0" borderId="11" xfId="0" applyNumberFormat="1" applyFont="1" applyBorder="1" applyAlignment="1">
      <alignment horizontal="left" vertical="center"/>
    </xf>
    <xf numFmtId="0" fontId="71" fillId="0" borderId="0" xfId="0" applyFont="1" applyAlignment="1">
      <alignment horizontal="center" vertical="center"/>
    </xf>
    <xf numFmtId="14" fontId="71" fillId="0" borderId="0" xfId="0" applyNumberFormat="1" applyFont="1" applyAlignment="1">
      <alignment horizontal="center" vertical="center"/>
    </xf>
    <xf numFmtId="0" fontId="71" fillId="0" borderId="21" xfId="0" applyFont="1" applyBorder="1" applyAlignment="1">
      <alignment horizontal="left" vertical="center"/>
    </xf>
    <xf numFmtId="0" fontId="71" fillId="0" borderId="23" xfId="0" applyFont="1" applyBorder="1" applyAlignment="1">
      <alignment horizontal="left" vertical="center"/>
    </xf>
    <xf numFmtId="0" fontId="71" fillId="0" borderId="11" xfId="0" applyFont="1" applyBorder="1" applyAlignment="1">
      <alignment horizontal="left" vertical="center"/>
    </xf>
    <xf numFmtId="165" fontId="86" fillId="0" borderId="10" xfId="0" applyNumberFormat="1" applyFont="1" applyBorder="1" applyAlignment="1">
      <alignment horizontal="center" vertical="center"/>
    </xf>
    <xf numFmtId="2" fontId="71" fillId="0" borderId="23" xfId="0" applyNumberFormat="1" applyFont="1" applyBorder="1" applyAlignment="1">
      <alignment horizontal="left" vertical="center"/>
    </xf>
    <xf numFmtId="2" fontId="71" fillId="0" borderId="11" xfId="0" applyNumberFormat="1" applyFont="1" applyBorder="1" applyAlignment="1">
      <alignment horizontal="left" vertical="center"/>
    </xf>
    <xf numFmtId="0" fontId="108" fillId="0" borderId="10" xfId="0" applyFont="1" applyBorder="1" applyAlignment="1">
      <alignment horizontal="center" vertical="center"/>
    </xf>
    <xf numFmtId="0" fontId="92" fillId="0" borderId="10" xfId="0" applyFont="1" applyBorder="1" applyAlignment="1">
      <alignment horizontal="center" vertical="center" wrapText="1"/>
    </xf>
    <xf numFmtId="0" fontId="108" fillId="0" borderId="10" xfId="0" applyFont="1" applyBorder="1" applyAlignment="1">
      <alignment horizontal="center" vertical="center" wrapText="1"/>
    </xf>
    <xf numFmtId="0" fontId="108" fillId="0" borderId="24" xfId="0" applyFont="1" applyBorder="1" applyAlignment="1">
      <alignment horizontal="center" vertical="center"/>
    </xf>
    <xf numFmtId="0" fontId="108" fillId="0" borderId="25" xfId="0" applyFont="1" applyBorder="1" applyAlignment="1">
      <alignment horizontal="center" vertical="center"/>
    </xf>
    <xf numFmtId="0" fontId="124" fillId="0" borderId="10" xfId="0" applyFont="1" applyBorder="1" applyAlignment="1">
      <alignment horizontal="center" vertical="center" wrapText="1"/>
    </xf>
    <xf numFmtId="0" fontId="125" fillId="0" borderId="0" xfId="0" applyFont="1" applyAlignment="1">
      <alignment horizontal="center" vertical="center"/>
    </xf>
    <xf numFmtId="0" fontId="71" fillId="0" borderId="24" xfId="0" applyFont="1" applyBorder="1" applyAlignment="1">
      <alignment horizontal="center" vertical="center" shrinkToFit="1"/>
    </xf>
    <xf numFmtId="0" fontId="71" fillId="0" borderId="26" xfId="0" applyFont="1" applyBorder="1" applyAlignment="1">
      <alignment horizontal="center" vertical="center" shrinkToFit="1"/>
    </xf>
    <xf numFmtId="0" fontId="71" fillId="0" borderId="25" xfId="0" applyFont="1" applyBorder="1" applyAlignment="1">
      <alignment horizontal="center" vertical="center" shrinkToFit="1"/>
    </xf>
    <xf numFmtId="0" fontId="92" fillId="0" borderId="10" xfId="0" applyFont="1" applyBorder="1" applyAlignment="1">
      <alignment horizontal="center" vertical="center"/>
    </xf>
    <xf numFmtId="0" fontId="126" fillId="0" borderId="0" xfId="0" applyFont="1" applyAlignment="1">
      <alignment horizontal="center" vertical="center"/>
    </xf>
    <xf numFmtId="0" fontId="108" fillId="0" borderId="21" xfId="0" applyFont="1" applyBorder="1" applyAlignment="1">
      <alignment horizontal="center" vertical="center" wrapText="1"/>
    </xf>
    <xf numFmtId="0" fontId="108" fillId="0" borderId="11" xfId="0" applyFont="1" applyBorder="1" applyAlignment="1">
      <alignment horizontal="center" vertical="center" wrapText="1"/>
    </xf>
    <xf numFmtId="0" fontId="4" fillId="0" borderId="0" xfId="0" applyFont="1" applyBorder="1" applyAlignment="1">
      <alignment horizontal="right"/>
    </xf>
    <xf numFmtId="0" fontId="7" fillId="0" borderId="0" xfId="0" applyFont="1" applyBorder="1" applyAlignment="1">
      <alignment horizontal="right" vertical="center"/>
    </xf>
    <xf numFmtId="0" fontId="3" fillId="34" borderId="12" xfId="0" applyFont="1" applyFill="1" applyBorder="1" applyAlignment="1">
      <alignment horizontal="left"/>
    </xf>
    <xf numFmtId="0" fontId="3" fillId="34" borderId="13" xfId="0" applyFont="1" applyFill="1" applyBorder="1" applyAlignment="1">
      <alignment horizontal="left"/>
    </xf>
    <xf numFmtId="0" fontId="3" fillId="34" borderId="14" xfId="0" applyFont="1" applyFill="1" applyBorder="1" applyAlignment="1">
      <alignment horizontal="left"/>
    </xf>
    <xf numFmtId="0" fontId="7" fillId="0" borderId="18" xfId="0"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97" fillId="0" borderId="0" xfId="0" applyFont="1" applyBorder="1" applyAlignment="1">
      <alignment horizontal="justify" vertical="top" wrapText="1"/>
    </xf>
    <xf numFmtId="0" fontId="97" fillId="0" borderId="15" xfId="0" applyFont="1" applyBorder="1" applyAlignment="1">
      <alignment horizontal="justify" vertical="top" wrapText="1"/>
    </xf>
    <xf numFmtId="0" fontId="97" fillId="0" borderId="16" xfId="0" applyFont="1" applyBorder="1" applyAlignment="1">
      <alignment horizontal="justify" vertical="top" wrapText="1"/>
    </xf>
    <xf numFmtId="0" fontId="4" fillId="0" borderId="0" xfId="0" applyFont="1" applyBorder="1" applyAlignment="1">
      <alignment horizontal="right" vertical="center"/>
    </xf>
    <xf numFmtId="0" fontId="4" fillId="0" borderId="32" xfId="0" applyFont="1" applyBorder="1" applyAlignment="1">
      <alignment horizontal="right" vertical="center"/>
    </xf>
    <xf numFmtId="0" fontId="3" fillId="34" borderId="12" xfId="0" applyFont="1" applyFill="1" applyBorder="1" applyAlignment="1">
      <alignment horizontal="right"/>
    </xf>
    <xf numFmtId="0" fontId="3" fillId="34" borderId="13" xfId="0" applyFont="1" applyFill="1" applyBorder="1" applyAlignment="1">
      <alignment horizontal="right"/>
    </xf>
    <xf numFmtId="0" fontId="3" fillId="34" borderId="14" xfId="0" applyFont="1" applyFill="1" applyBorder="1" applyAlignment="1">
      <alignment horizontal="right"/>
    </xf>
    <xf numFmtId="0" fontId="5" fillId="0" borderId="16"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97" fillId="0" borderId="16" xfId="0" applyFont="1" applyBorder="1" applyAlignment="1">
      <alignment horizontal="center"/>
    </xf>
    <xf numFmtId="0" fontId="97" fillId="0" borderId="0" xfId="0" applyFont="1" applyBorder="1" applyAlignment="1">
      <alignment horizontal="center"/>
    </xf>
    <xf numFmtId="0" fontId="97" fillId="0" borderId="15" xfId="0" applyFont="1" applyBorder="1" applyAlignment="1">
      <alignment horizont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97" fillId="0" borderId="16" xfId="0" applyFont="1" applyBorder="1" applyAlignment="1">
      <alignment horizontal="right"/>
    </xf>
    <xf numFmtId="0" fontId="97" fillId="0" borderId="0" xfId="0" applyFont="1" applyBorder="1" applyAlignment="1">
      <alignment horizontal="right"/>
    </xf>
    <xf numFmtId="0" fontId="97" fillId="0" borderId="15"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rgb="FFCCFFCC"/>
        </patternFill>
      </fill>
      <border>
        <left style="thin"/>
        <right style="thin"/>
        <top style="thin"/>
        <bottom style="thin"/>
      </border>
    </dxf>
    <dxf>
      <font>
        <color rgb="FFFF0000"/>
      </font>
      <fill>
        <patternFill>
          <bgColor theme="6"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fill>
        <patternFill>
          <bgColor theme="6" tint="0.5999600291252136"/>
        </patternFill>
      </fill>
      <border/>
    </dxf>
    <dxf>
      <fill>
        <patternFill>
          <bgColor rgb="FFCC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M3" sqref="M3"/>
    </sheetView>
  </sheetViews>
  <sheetFormatPr defaultColWidth="9.140625" defaultRowHeight="19.5" customHeight="1"/>
  <cols>
    <col min="1" max="11" width="8.7109375" style="212" customWidth="1"/>
    <col min="12" max="16384" width="8.8515625" style="212" customWidth="1"/>
  </cols>
  <sheetData>
    <row r="1" spans="1:11" ht="41.25" customHeight="1">
      <c r="A1" s="214" t="s">
        <v>202</v>
      </c>
      <c r="B1" s="215"/>
      <c r="C1" s="215"/>
      <c r="D1" s="215"/>
      <c r="E1" s="215"/>
      <c r="F1" s="215"/>
      <c r="G1" s="215"/>
      <c r="H1" s="215"/>
      <c r="I1" s="215"/>
      <c r="J1" s="215"/>
      <c r="K1" s="215"/>
    </row>
    <row r="2" spans="1:11" ht="9" customHeight="1">
      <c r="A2" s="213"/>
      <c r="B2" s="213"/>
      <c r="C2" s="213"/>
      <c r="D2" s="213"/>
      <c r="E2" s="213"/>
      <c r="F2" s="213"/>
      <c r="G2" s="213"/>
      <c r="H2" s="213"/>
      <c r="I2" s="213"/>
      <c r="J2" s="213"/>
      <c r="K2" s="213"/>
    </row>
    <row r="3" spans="1:11" ht="19.5" customHeight="1">
      <c r="A3" s="216" t="s">
        <v>201</v>
      </c>
      <c r="B3" s="216"/>
      <c r="C3" s="216"/>
      <c r="D3" s="216"/>
      <c r="E3" s="216"/>
      <c r="F3" s="216"/>
      <c r="G3" s="216"/>
      <c r="H3" s="216"/>
      <c r="I3" s="216"/>
      <c r="J3" s="216"/>
      <c r="K3" s="216"/>
    </row>
    <row r="4" spans="1:11" ht="19.5" customHeight="1">
      <c r="A4" s="216"/>
      <c r="B4" s="216"/>
      <c r="C4" s="216"/>
      <c r="D4" s="216"/>
      <c r="E4" s="216"/>
      <c r="F4" s="216"/>
      <c r="G4" s="216"/>
      <c r="H4" s="216"/>
      <c r="I4" s="216"/>
      <c r="J4" s="216"/>
      <c r="K4" s="216"/>
    </row>
    <row r="5" spans="1:11" ht="19.5" customHeight="1">
      <c r="A5" s="216"/>
      <c r="B5" s="216"/>
      <c r="C5" s="216"/>
      <c r="D5" s="216"/>
      <c r="E5" s="216"/>
      <c r="F5" s="216"/>
      <c r="G5" s="216"/>
      <c r="H5" s="216"/>
      <c r="I5" s="216"/>
      <c r="J5" s="216"/>
      <c r="K5" s="216"/>
    </row>
    <row r="6" spans="1:11" ht="19.5" customHeight="1">
      <c r="A6" s="216"/>
      <c r="B6" s="216"/>
      <c r="C6" s="216"/>
      <c r="D6" s="216"/>
      <c r="E6" s="216"/>
      <c r="F6" s="216"/>
      <c r="G6" s="216"/>
      <c r="H6" s="216"/>
      <c r="I6" s="216"/>
      <c r="J6" s="216"/>
      <c r="K6" s="216"/>
    </row>
    <row r="7" spans="1:11" ht="19.5" customHeight="1">
      <c r="A7" s="216"/>
      <c r="B7" s="216"/>
      <c r="C7" s="216"/>
      <c r="D7" s="216"/>
      <c r="E7" s="216"/>
      <c r="F7" s="216"/>
      <c r="G7" s="216"/>
      <c r="H7" s="216"/>
      <c r="I7" s="216"/>
      <c r="J7" s="216"/>
      <c r="K7" s="216"/>
    </row>
    <row r="8" spans="1:11" ht="19.5" customHeight="1">
      <c r="A8" s="216"/>
      <c r="B8" s="216"/>
      <c r="C8" s="216"/>
      <c r="D8" s="216"/>
      <c r="E8" s="216"/>
      <c r="F8" s="216"/>
      <c r="G8" s="216"/>
      <c r="H8" s="216"/>
      <c r="I8" s="216"/>
      <c r="J8" s="216"/>
      <c r="K8" s="216"/>
    </row>
    <row r="9" spans="1:11" ht="19.5" customHeight="1">
      <c r="A9" s="216"/>
      <c r="B9" s="216"/>
      <c r="C9" s="216"/>
      <c r="D9" s="216"/>
      <c r="E9" s="216"/>
      <c r="F9" s="216"/>
      <c r="G9" s="216"/>
      <c r="H9" s="216"/>
      <c r="I9" s="216"/>
      <c r="J9" s="216"/>
      <c r="K9" s="216"/>
    </row>
    <row r="10" spans="1:11" ht="19.5" customHeight="1">
      <c r="A10" s="216"/>
      <c r="B10" s="216"/>
      <c r="C10" s="216"/>
      <c r="D10" s="216"/>
      <c r="E10" s="216"/>
      <c r="F10" s="216"/>
      <c r="G10" s="216"/>
      <c r="H10" s="216"/>
      <c r="I10" s="216"/>
      <c r="J10" s="216"/>
      <c r="K10" s="216"/>
    </row>
    <row r="11" spans="1:11" ht="19.5" customHeight="1">
      <c r="A11" s="216"/>
      <c r="B11" s="216"/>
      <c r="C11" s="216"/>
      <c r="D11" s="216"/>
      <c r="E11" s="216"/>
      <c r="F11" s="216"/>
      <c r="G11" s="216"/>
      <c r="H11" s="216"/>
      <c r="I11" s="216"/>
      <c r="J11" s="216"/>
      <c r="K11" s="216"/>
    </row>
    <row r="12" spans="1:11" ht="19.5" customHeight="1">
      <c r="A12" s="216"/>
      <c r="B12" s="216"/>
      <c r="C12" s="216"/>
      <c r="D12" s="216"/>
      <c r="E12" s="216"/>
      <c r="F12" s="216"/>
      <c r="G12" s="216"/>
      <c r="H12" s="216"/>
      <c r="I12" s="216"/>
      <c r="J12" s="216"/>
      <c r="K12" s="216"/>
    </row>
    <row r="13" spans="1:11" ht="19.5" customHeight="1">
      <c r="A13" s="216"/>
      <c r="B13" s="216"/>
      <c r="C13" s="216"/>
      <c r="D13" s="216"/>
      <c r="E13" s="216"/>
      <c r="F13" s="216"/>
      <c r="G13" s="216"/>
      <c r="H13" s="216"/>
      <c r="I13" s="216"/>
      <c r="J13" s="216"/>
      <c r="K13" s="216"/>
    </row>
    <row r="14" spans="1:11" ht="19.5" customHeight="1">
      <c r="A14" s="216"/>
      <c r="B14" s="216"/>
      <c r="C14" s="216"/>
      <c r="D14" s="216"/>
      <c r="E14" s="216"/>
      <c r="F14" s="216"/>
      <c r="G14" s="216"/>
      <c r="H14" s="216"/>
      <c r="I14" s="216"/>
      <c r="J14" s="216"/>
      <c r="K14" s="216"/>
    </row>
    <row r="15" spans="1:11" ht="19.5" customHeight="1">
      <c r="A15" s="216"/>
      <c r="B15" s="216"/>
      <c r="C15" s="216"/>
      <c r="D15" s="216"/>
      <c r="E15" s="216"/>
      <c r="F15" s="216"/>
      <c r="G15" s="216"/>
      <c r="H15" s="216"/>
      <c r="I15" s="216"/>
      <c r="J15" s="216"/>
      <c r="K15" s="216"/>
    </row>
    <row r="16" spans="1:11" ht="19.5" customHeight="1">
      <c r="A16" s="216"/>
      <c r="B16" s="216"/>
      <c r="C16" s="216"/>
      <c r="D16" s="216"/>
      <c r="E16" s="216"/>
      <c r="F16" s="216"/>
      <c r="G16" s="216"/>
      <c r="H16" s="216"/>
      <c r="I16" s="216"/>
      <c r="J16" s="216"/>
      <c r="K16" s="216"/>
    </row>
    <row r="17" spans="1:11" ht="19.5" customHeight="1">
      <c r="A17" s="216"/>
      <c r="B17" s="216"/>
      <c r="C17" s="216"/>
      <c r="D17" s="216"/>
      <c r="E17" s="216"/>
      <c r="F17" s="216"/>
      <c r="G17" s="216"/>
      <c r="H17" s="216"/>
      <c r="I17" s="216"/>
      <c r="J17" s="216"/>
      <c r="K17" s="216"/>
    </row>
    <row r="18" spans="1:11" ht="19.5" customHeight="1">
      <c r="A18" s="216"/>
      <c r="B18" s="216"/>
      <c r="C18" s="216"/>
      <c r="D18" s="216"/>
      <c r="E18" s="216"/>
      <c r="F18" s="216"/>
      <c r="G18" s="216"/>
      <c r="H18" s="216"/>
      <c r="I18" s="216"/>
      <c r="J18" s="216"/>
      <c r="K18" s="216"/>
    </row>
    <row r="19" spans="1:11" ht="19.5" customHeight="1">
      <c r="A19" s="216"/>
      <c r="B19" s="216"/>
      <c r="C19" s="216"/>
      <c r="D19" s="216"/>
      <c r="E19" s="216"/>
      <c r="F19" s="216"/>
      <c r="G19" s="216"/>
      <c r="H19" s="216"/>
      <c r="I19" s="216"/>
      <c r="J19" s="216"/>
      <c r="K19" s="216"/>
    </row>
    <row r="20" spans="1:11" ht="19.5" customHeight="1">
      <c r="A20" s="216"/>
      <c r="B20" s="216"/>
      <c r="C20" s="216"/>
      <c r="D20" s="216"/>
      <c r="E20" s="216"/>
      <c r="F20" s="216"/>
      <c r="G20" s="216"/>
      <c r="H20" s="216"/>
      <c r="I20" s="216"/>
      <c r="J20" s="216"/>
      <c r="K20" s="216"/>
    </row>
    <row r="21" spans="1:11" ht="19.5" customHeight="1">
      <c r="A21" s="216"/>
      <c r="B21" s="216"/>
      <c r="C21" s="216"/>
      <c r="D21" s="216"/>
      <c r="E21" s="216"/>
      <c r="F21" s="216"/>
      <c r="G21" s="216"/>
      <c r="H21" s="216"/>
      <c r="I21" s="216"/>
      <c r="J21" s="216"/>
      <c r="K21" s="216"/>
    </row>
    <row r="22" spans="1:11" ht="19.5" customHeight="1">
      <c r="A22" s="216"/>
      <c r="B22" s="216"/>
      <c r="C22" s="216"/>
      <c r="D22" s="216"/>
      <c r="E22" s="216"/>
      <c r="F22" s="216"/>
      <c r="G22" s="216"/>
      <c r="H22" s="216"/>
      <c r="I22" s="216"/>
      <c r="J22" s="216"/>
      <c r="K22" s="216"/>
    </row>
    <row r="23" spans="1:11" ht="19.5" customHeight="1">
      <c r="A23" s="216"/>
      <c r="B23" s="216"/>
      <c r="C23" s="216"/>
      <c r="D23" s="216"/>
      <c r="E23" s="216"/>
      <c r="F23" s="216"/>
      <c r="G23" s="216"/>
      <c r="H23" s="216"/>
      <c r="I23" s="216"/>
      <c r="J23" s="216"/>
      <c r="K23" s="216"/>
    </row>
    <row r="24" spans="1:11" ht="19.5" customHeight="1">
      <c r="A24" s="216"/>
      <c r="B24" s="216"/>
      <c r="C24" s="216"/>
      <c r="D24" s="216"/>
      <c r="E24" s="216"/>
      <c r="F24" s="216"/>
      <c r="G24" s="216"/>
      <c r="H24" s="216"/>
      <c r="I24" s="216"/>
      <c r="J24" s="216"/>
      <c r="K24" s="216"/>
    </row>
    <row r="25" spans="1:11" ht="19.5" customHeight="1">
      <c r="A25" s="216"/>
      <c r="B25" s="216"/>
      <c r="C25" s="216"/>
      <c r="D25" s="216"/>
      <c r="E25" s="216"/>
      <c r="F25" s="216"/>
      <c r="G25" s="216"/>
      <c r="H25" s="216"/>
      <c r="I25" s="216"/>
      <c r="J25" s="216"/>
      <c r="K25" s="216"/>
    </row>
    <row r="26" spans="1:11" ht="19.5" customHeight="1">
      <c r="A26" s="216"/>
      <c r="B26" s="216"/>
      <c r="C26" s="216"/>
      <c r="D26" s="216"/>
      <c r="E26" s="216"/>
      <c r="F26" s="216"/>
      <c r="G26" s="216"/>
      <c r="H26" s="216"/>
      <c r="I26" s="216"/>
      <c r="J26" s="216"/>
      <c r="K26" s="216"/>
    </row>
    <row r="27" spans="1:11" ht="19.5" customHeight="1">
      <c r="A27" s="216"/>
      <c r="B27" s="216"/>
      <c r="C27" s="216"/>
      <c r="D27" s="216"/>
      <c r="E27" s="216"/>
      <c r="F27" s="216"/>
      <c r="G27" s="216"/>
      <c r="H27" s="216"/>
      <c r="I27" s="216"/>
      <c r="J27" s="216"/>
      <c r="K27" s="216"/>
    </row>
    <row r="28" spans="1:11" ht="19.5" customHeight="1">
      <c r="A28" s="216"/>
      <c r="B28" s="216"/>
      <c r="C28" s="216"/>
      <c r="D28" s="216"/>
      <c r="E28" s="216"/>
      <c r="F28" s="216"/>
      <c r="G28" s="216"/>
      <c r="H28" s="216"/>
      <c r="I28" s="216"/>
      <c r="J28" s="216"/>
      <c r="K28" s="216"/>
    </row>
    <row r="29" spans="1:11" ht="19.5" customHeight="1">
      <c r="A29" s="216"/>
      <c r="B29" s="216"/>
      <c r="C29" s="216"/>
      <c r="D29" s="216"/>
      <c r="E29" s="216"/>
      <c r="F29" s="216"/>
      <c r="G29" s="216"/>
      <c r="H29" s="216"/>
      <c r="I29" s="216"/>
      <c r="J29" s="216"/>
      <c r="K29" s="216"/>
    </row>
    <row r="30" spans="1:11" ht="19.5" customHeight="1">
      <c r="A30" s="216"/>
      <c r="B30" s="216"/>
      <c r="C30" s="216"/>
      <c r="D30" s="216"/>
      <c r="E30" s="216"/>
      <c r="F30" s="216"/>
      <c r="G30" s="216"/>
      <c r="H30" s="216"/>
      <c r="I30" s="216"/>
      <c r="J30" s="216"/>
      <c r="K30" s="216"/>
    </row>
    <row r="31" spans="1:11" ht="19.5" customHeight="1" thickBot="1">
      <c r="A31" s="216"/>
      <c r="B31" s="216"/>
      <c r="C31" s="216"/>
      <c r="D31" s="216"/>
      <c r="E31" s="216"/>
      <c r="F31" s="216"/>
      <c r="G31" s="216"/>
      <c r="H31" s="216"/>
      <c r="I31" s="216"/>
      <c r="J31" s="216"/>
      <c r="K31" s="216"/>
    </row>
    <row r="32" spans="4:8" ht="19.5" customHeight="1">
      <c r="D32" s="217" t="s">
        <v>125</v>
      </c>
      <c r="E32" s="218"/>
      <c r="F32" s="218"/>
      <c r="G32" s="218"/>
      <c r="H32" s="219"/>
    </row>
    <row r="33" spans="4:8" ht="19.5" customHeight="1">
      <c r="D33" s="220"/>
      <c r="E33" s="221"/>
      <c r="F33" s="221"/>
      <c r="G33" s="221"/>
      <c r="H33" s="222"/>
    </row>
    <row r="34" spans="4:8" ht="19.5" customHeight="1" thickBot="1">
      <c r="D34" s="223"/>
      <c r="E34" s="224"/>
      <c r="F34" s="224"/>
      <c r="G34" s="224"/>
      <c r="H34" s="225"/>
    </row>
  </sheetData>
  <sheetProtection/>
  <mergeCells count="3">
    <mergeCell ref="A1:K1"/>
    <mergeCell ref="A3:K31"/>
    <mergeCell ref="D32:H34"/>
  </mergeCells>
  <printOptions/>
  <pageMargins left="0.47" right="0.25" top="0.42"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7"/>
  <sheetViews>
    <sheetView zoomScalePageLayoutView="0" workbookViewId="0" topLeftCell="A1">
      <selection activeCell="D11" sqref="D11"/>
    </sheetView>
  </sheetViews>
  <sheetFormatPr defaultColWidth="9.140625" defaultRowHeight="15"/>
  <cols>
    <col min="1" max="5" width="6.140625" style="0" customWidth="1"/>
    <col min="6" max="6" width="5.28125" style="0" customWidth="1"/>
    <col min="7" max="10" width="4.57421875" style="0" customWidth="1"/>
  </cols>
  <sheetData>
    <row r="2" spans="1:10" ht="15">
      <c r="A2" s="318" t="s">
        <v>105</v>
      </c>
      <c r="B2" s="318"/>
      <c r="C2" s="318"/>
      <c r="D2" s="318"/>
      <c r="E2" s="318"/>
      <c r="F2" s="318"/>
      <c r="G2" s="318"/>
      <c r="H2" s="318"/>
      <c r="I2" s="318"/>
      <c r="J2" s="318"/>
    </row>
    <row r="3" spans="1:10" ht="15">
      <c r="A3" s="318" t="s">
        <v>99</v>
      </c>
      <c r="B3" s="318"/>
      <c r="C3" s="318"/>
      <c r="D3" s="318"/>
      <c r="E3" s="318"/>
      <c r="F3" s="318" t="s">
        <v>106</v>
      </c>
      <c r="G3" s="318"/>
      <c r="H3" s="318"/>
      <c r="I3" s="318"/>
      <c r="J3" s="318"/>
    </row>
    <row r="4" spans="1:10" ht="15">
      <c r="A4" s="332" t="s">
        <v>107</v>
      </c>
      <c r="B4" s="333"/>
      <c r="C4" s="333"/>
      <c r="D4" s="333"/>
      <c r="E4" s="333"/>
      <c r="F4" s="81" t="s">
        <v>104</v>
      </c>
      <c r="G4" s="336">
        <f>DATA!DU19</f>
        <v>4500</v>
      </c>
      <c r="H4" s="336"/>
      <c r="I4" s="336"/>
      <c r="J4" s="337"/>
    </row>
    <row r="5" spans="1:10" ht="15">
      <c r="A5" s="332" t="s">
        <v>108</v>
      </c>
      <c r="B5" s="333"/>
      <c r="C5" s="333"/>
      <c r="D5" s="333"/>
      <c r="E5" s="333"/>
      <c r="F5" s="81" t="s">
        <v>104</v>
      </c>
      <c r="G5" s="336">
        <f>DATA!DH20</f>
        <v>12796</v>
      </c>
      <c r="H5" s="336"/>
      <c r="I5" s="336"/>
      <c r="J5" s="337"/>
    </row>
    <row r="6" spans="1:10" ht="15">
      <c r="A6" s="332" t="s">
        <v>109</v>
      </c>
      <c r="B6" s="333"/>
      <c r="C6" s="333"/>
      <c r="D6" s="333"/>
      <c r="E6" s="333"/>
      <c r="F6" s="81" t="s">
        <v>104</v>
      </c>
      <c r="G6" s="336">
        <f>DATA!DH21</f>
        <v>3060</v>
      </c>
      <c r="H6" s="336"/>
      <c r="I6" s="336"/>
      <c r="J6" s="337"/>
    </row>
    <row r="7" spans="1:10" ht="15">
      <c r="A7" s="325" t="s">
        <v>9</v>
      </c>
      <c r="B7" s="305"/>
      <c r="C7" s="305"/>
      <c r="D7" s="305"/>
      <c r="E7" s="305"/>
      <c r="F7" s="82" t="s">
        <v>104</v>
      </c>
      <c r="G7" s="328">
        <f>SUM(G4:J6)</f>
        <v>20356</v>
      </c>
      <c r="H7" s="328"/>
      <c r="I7" s="328"/>
      <c r="J7" s="329"/>
    </row>
  </sheetData>
  <sheetProtection/>
  <mergeCells count="11">
    <mergeCell ref="G5:J5"/>
    <mergeCell ref="A6:E6"/>
    <mergeCell ref="G6:J6"/>
    <mergeCell ref="A7:E7"/>
    <mergeCell ref="G7:J7"/>
    <mergeCell ref="A2:J2"/>
    <mergeCell ref="A3:E3"/>
    <mergeCell ref="F3:J3"/>
    <mergeCell ref="A4:E4"/>
    <mergeCell ref="G4:J4"/>
    <mergeCell ref="A5:E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H59"/>
  <sheetViews>
    <sheetView zoomScale="88" zoomScaleNormal="88" zoomScalePageLayoutView="0" workbookViewId="0" topLeftCell="A28">
      <selection activeCell="D6" sqref="D6"/>
    </sheetView>
  </sheetViews>
  <sheetFormatPr defaultColWidth="9.140625" defaultRowHeight="18" customHeight="1"/>
  <cols>
    <col min="1" max="1" width="5.28125" style="11" customWidth="1"/>
    <col min="2" max="2" width="3.7109375" style="11" customWidth="1"/>
    <col min="3" max="3" width="9.7109375" style="11" customWidth="1"/>
    <col min="4" max="83" width="3.57421875" style="11" customWidth="1"/>
    <col min="84" max="86" width="6.7109375" style="11" customWidth="1"/>
    <col min="87" max="88" width="8.8515625" style="11" customWidth="1"/>
    <col min="89" max="89" width="9.7109375" style="11" customWidth="1"/>
    <col min="90" max="90" width="8.8515625" style="11" customWidth="1"/>
    <col min="91" max="91" width="9.28125" style="11" customWidth="1"/>
    <col min="92" max="102" width="8.8515625" style="11" customWidth="1"/>
    <col min="103" max="103" width="14.57421875" style="11" customWidth="1"/>
    <col min="104" max="104" width="8.8515625" style="11" customWidth="1"/>
    <col min="105" max="105" width="13.28125" style="11" customWidth="1"/>
    <col min="106" max="110" width="8.8515625" style="11" customWidth="1"/>
    <col min="111" max="148" width="4.28125" style="127" customWidth="1"/>
    <col min="149" max="190" width="4.28125" style="11" customWidth="1"/>
    <col min="191" max="16384" width="8.8515625" style="11" customWidth="1"/>
  </cols>
  <sheetData>
    <row r="1" spans="2:148" s="10" customFormat="1" ht="18" customHeight="1">
      <c r="B1" s="234" t="str">
        <f>CONCATENATE("NOON MEAL PROGRAMME"," - ",K33)</f>
        <v>NOON MEAL PROGRAMME - S.S.H.S.S. Moorkanad</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row>
    <row r="2" spans="2:148" s="10" customFormat="1" ht="18" customHeight="1">
      <c r="B2" s="238" t="s">
        <v>78</v>
      </c>
      <c r="C2" s="238"/>
      <c r="D2" s="238"/>
      <c r="E2" s="238"/>
      <c r="F2" s="238"/>
      <c r="G2" s="238"/>
      <c r="H2" s="257">
        <f>DATE(O3,CZ2+1,2)</f>
        <v>40453</v>
      </c>
      <c r="I2" s="238"/>
      <c r="J2" s="238"/>
      <c r="K2" s="238"/>
      <c r="L2" s="238" t="s">
        <v>34</v>
      </c>
      <c r="M2" s="238"/>
      <c r="N2" s="238"/>
      <c r="O2" s="238" t="s">
        <v>35</v>
      </c>
      <c r="P2" s="238"/>
      <c r="Q2" s="238"/>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210"/>
      <c r="BI2" s="210"/>
      <c r="CY2" s="262" t="s">
        <v>51</v>
      </c>
      <c r="CZ2" s="259">
        <f>MATCH(L3,CY4:CY15,0)</f>
        <v>9</v>
      </c>
      <c r="DA2" s="269" t="str">
        <f>INDEX(DA4:DA15,CZ2,1)</f>
        <v>sk]väw_À</v>
      </c>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row>
    <row r="3" spans="1:148" s="10" customFormat="1" ht="18" customHeight="1">
      <c r="A3" s="249" t="s">
        <v>135</v>
      </c>
      <c r="B3" s="264" t="s">
        <v>33</v>
      </c>
      <c r="C3" s="264"/>
      <c r="D3" s="264"/>
      <c r="E3" s="264"/>
      <c r="F3" s="264"/>
      <c r="G3" s="264"/>
      <c r="H3" s="264"/>
      <c r="I3" s="264"/>
      <c r="J3" s="265">
        <f>SUBTOTAL(2,C7:C30)</f>
        <v>15</v>
      </c>
      <c r="K3" s="265"/>
      <c r="L3" s="267" t="s">
        <v>161</v>
      </c>
      <c r="M3" s="267"/>
      <c r="N3" s="267"/>
      <c r="O3" s="239">
        <v>2010</v>
      </c>
      <c r="P3" s="239"/>
      <c r="Q3" s="239"/>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0"/>
      <c r="BI3" s="210"/>
      <c r="CY3" s="263"/>
      <c r="CZ3" s="259"/>
      <c r="DA3" s="269"/>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row>
    <row r="4" spans="1:190" ht="18" customHeight="1">
      <c r="A4" s="250"/>
      <c r="B4" s="237" t="s">
        <v>31</v>
      </c>
      <c r="C4" s="237"/>
      <c r="D4" s="128">
        <v>1</v>
      </c>
      <c r="E4" s="129" t="s">
        <v>132</v>
      </c>
      <c r="F4" s="128">
        <v>1</v>
      </c>
      <c r="G4" s="129" t="s">
        <v>133</v>
      </c>
      <c r="H4" s="128">
        <v>1</v>
      </c>
      <c r="I4" s="129" t="s">
        <v>158</v>
      </c>
      <c r="J4" s="128">
        <v>1</v>
      </c>
      <c r="K4" s="129" t="s">
        <v>159</v>
      </c>
      <c r="L4" s="128">
        <v>1</v>
      </c>
      <c r="M4" s="129" t="s">
        <v>160</v>
      </c>
      <c r="N4" s="128">
        <v>2</v>
      </c>
      <c r="O4" s="129" t="s">
        <v>132</v>
      </c>
      <c r="P4" s="128">
        <v>2</v>
      </c>
      <c r="Q4" s="129" t="s">
        <v>133</v>
      </c>
      <c r="R4" s="128">
        <v>2</v>
      </c>
      <c r="S4" s="129" t="s">
        <v>158</v>
      </c>
      <c r="T4" s="128">
        <v>2</v>
      </c>
      <c r="U4" s="129" t="s">
        <v>159</v>
      </c>
      <c r="V4" s="128">
        <v>2</v>
      </c>
      <c r="W4" s="129" t="s">
        <v>160</v>
      </c>
      <c r="X4" s="128">
        <v>3</v>
      </c>
      <c r="Y4" s="129" t="s">
        <v>132</v>
      </c>
      <c r="Z4" s="128">
        <v>3</v>
      </c>
      <c r="AA4" s="129" t="s">
        <v>133</v>
      </c>
      <c r="AB4" s="128">
        <v>3</v>
      </c>
      <c r="AC4" s="129" t="s">
        <v>158</v>
      </c>
      <c r="AD4" s="128">
        <v>3</v>
      </c>
      <c r="AE4" s="129" t="s">
        <v>159</v>
      </c>
      <c r="AF4" s="128">
        <v>3</v>
      </c>
      <c r="AG4" s="129" t="s">
        <v>160</v>
      </c>
      <c r="AH4" s="128">
        <v>4</v>
      </c>
      <c r="AI4" s="129" t="s">
        <v>132</v>
      </c>
      <c r="AJ4" s="128">
        <v>4</v>
      </c>
      <c r="AK4" s="129" t="s">
        <v>133</v>
      </c>
      <c r="AL4" s="128">
        <v>4</v>
      </c>
      <c r="AM4" s="129" t="s">
        <v>158</v>
      </c>
      <c r="AN4" s="128">
        <v>4</v>
      </c>
      <c r="AO4" s="129" t="s">
        <v>159</v>
      </c>
      <c r="AP4" s="128">
        <v>4</v>
      </c>
      <c r="AQ4" s="129" t="s">
        <v>160</v>
      </c>
      <c r="AR4" s="128">
        <v>5</v>
      </c>
      <c r="AS4" s="129" t="s">
        <v>132</v>
      </c>
      <c r="AT4" s="128">
        <v>5</v>
      </c>
      <c r="AU4" s="129" t="s">
        <v>133</v>
      </c>
      <c r="AV4" s="128">
        <v>5</v>
      </c>
      <c r="AW4" s="129" t="s">
        <v>158</v>
      </c>
      <c r="AX4" s="128">
        <v>5</v>
      </c>
      <c r="AY4" s="129" t="s">
        <v>159</v>
      </c>
      <c r="AZ4" s="128">
        <v>5</v>
      </c>
      <c r="BA4" s="129" t="s">
        <v>160</v>
      </c>
      <c r="BB4" s="128">
        <v>6</v>
      </c>
      <c r="BC4" s="129" t="s">
        <v>132</v>
      </c>
      <c r="BD4" s="128">
        <v>6</v>
      </c>
      <c r="BE4" s="129" t="s">
        <v>133</v>
      </c>
      <c r="BF4" s="128">
        <v>6</v>
      </c>
      <c r="BG4" s="129" t="s">
        <v>158</v>
      </c>
      <c r="BH4" s="128">
        <v>6</v>
      </c>
      <c r="BI4" s="129" t="s">
        <v>159</v>
      </c>
      <c r="BJ4" s="128">
        <v>6</v>
      </c>
      <c r="BK4" s="129" t="s">
        <v>160</v>
      </c>
      <c r="BL4" s="128">
        <v>7</v>
      </c>
      <c r="BM4" s="129" t="s">
        <v>132</v>
      </c>
      <c r="BN4" s="128">
        <v>7</v>
      </c>
      <c r="BO4" s="129" t="s">
        <v>133</v>
      </c>
      <c r="BP4" s="128">
        <v>7</v>
      </c>
      <c r="BQ4" s="129" t="s">
        <v>158</v>
      </c>
      <c r="BR4" s="128">
        <v>7</v>
      </c>
      <c r="BS4" s="129" t="s">
        <v>159</v>
      </c>
      <c r="BT4" s="128">
        <v>7</v>
      </c>
      <c r="BU4" s="129" t="s">
        <v>160</v>
      </c>
      <c r="BV4" s="128">
        <v>8</v>
      </c>
      <c r="BW4" s="129" t="s">
        <v>132</v>
      </c>
      <c r="BX4" s="128">
        <v>8</v>
      </c>
      <c r="BY4" s="129" t="s">
        <v>133</v>
      </c>
      <c r="BZ4" s="128">
        <v>8</v>
      </c>
      <c r="CA4" s="129" t="s">
        <v>158</v>
      </c>
      <c r="CB4" s="128">
        <v>8</v>
      </c>
      <c r="CC4" s="129" t="s">
        <v>159</v>
      </c>
      <c r="CD4" s="128">
        <v>8</v>
      </c>
      <c r="CE4" s="129" t="s">
        <v>160</v>
      </c>
      <c r="CF4" s="260" t="s">
        <v>9</v>
      </c>
      <c r="CG4" s="260"/>
      <c r="CH4" s="261"/>
      <c r="CY4" s="83" t="s">
        <v>39</v>
      </c>
      <c r="CZ4" s="83">
        <v>1</v>
      </c>
      <c r="DA4" s="84" t="s">
        <v>63</v>
      </c>
      <c r="DG4" s="125">
        <f>D4</f>
        <v>1</v>
      </c>
      <c r="DH4" s="125">
        <f>DG4</f>
        <v>1</v>
      </c>
      <c r="DI4" s="125">
        <f>F4</f>
        <v>1</v>
      </c>
      <c r="DJ4" s="125">
        <f>DI4</f>
        <v>1</v>
      </c>
      <c r="DK4" s="188">
        <f>H4</f>
        <v>1</v>
      </c>
      <c r="DL4" s="188">
        <f>DK4</f>
        <v>1</v>
      </c>
      <c r="DM4" s="188">
        <f>J4</f>
        <v>1</v>
      </c>
      <c r="DN4" s="188">
        <f>DM4</f>
        <v>1</v>
      </c>
      <c r="DO4" s="188">
        <f>L4</f>
        <v>1</v>
      </c>
      <c r="DP4" s="188">
        <f>DO4</f>
        <v>1</v>
      </c>
      <c r="DQ4" s="188">
        <f>N4</f>
        <v>2</v>
      </c>
      <c r="DR4" s="188">
        <f>DQ4</f>
        <v>2</v>
      </c>
      <c r="DS4" s="188">
        <f>P4</f>
        <v>2</v>
      </c>
      <c r="DT4" s="188">
        <f>DS4</f>
        <v>2</v>
      </c>
      <c r="DU4" s="188">
        <f>R4</f>
        <v>2</v>
      </c>
      <c r="DV4" s="188">
        <f>DU4</f>
        <v>2</v>
      </c>
      <c r="DW4" s="188">
        <f>T4</f>
        <v>2</v>
      </c>
      <c r="DX4" s="188">
        <f>DW4</f>
        <v>2</v>
      </c>
      <c r="DY4" s="188">
        <f>V4</f>
        <v>2</v>
      </c>
      <c r="DZ4" s="188">
        <f>DY4</f>
        <v>2</v>
      </c>
      <c r="EA4" s="188">
        <f>X4</f>
        <v>3</v>
      </c>
      <c r="EB4" s="188">
        <f>EA4</f>
        <v>3</v>
      </c>
      <c r="EC4" s="188">
        <f>Z4</f>
        <v>3</v>
      </c>
      <c r="ED4" s="188">
        <f>EC4</f>
        <v>3</v>
      </c>
      <c r="EE4" s="188">
        <f>AB4</f>
        <v>3</v>
      </c>
      <c r="EF4" s="188">
        <f>EE4</f>
        <v>3</v>
      </c>
      <c r="EG4" s="188">
        <f>AD4</f>
        <v>3</v>
      </c>
      <c r="EH4" s="188">
        <f>EG4</f>
        <v>3</v>
      </c>
      <c r="EI4" s="188">
        <f>AF4</f>
        <v>3</v>
      </c>
      <c r="EJ4" s="188">
        <f>EI4</f>
        <v>3</v>
      </c>
      <c r="EK4" s="188">
        <f>AH4</f>
        <v>4</v>
      </c>
      <c r="EL4" s="188">
        <f>EK4</f>
        <v>4</v>
      </c>
      <c r="EM4" s="188">
        <f>AJ4</f>
        <v>4</v>
      </c>
      <c r="EN4" s="188">
        <f>EM4</f>
        <v>4</v>
      </c>
      <c r="EO4" s="188">
        <f>AL4</f>
        <v>4</v>
      </c>
      <c r="EP4" s="188">
        <f>EO4</f>
        <v>4</v>
      </c>
      <c r="EQ4" s="188">
        <f>AN4</f>
        <v>4</v>
      </c>
      <c r="ER4" s="188">
        <f>EQ4</f>
        <v>4</v>
      </c>
      <c r="ES4" s="188">
        <f>AP4</f>
        <v>4</v>
      </c>
      <c r="ET4" s="188">
        <f>ES4</f>
        <v>4</v>
      </c>
      <c r="EU4" s="188">
        <f>AR4</f>
        <v>5</v>
      </c>
      <c r="EV4" s="188">
        <f>EU4</f>
        <v>5</v>
      </c>
      <c r="EW4" s="188">
        <f>AT4</f>
        <v>5</v>
      </c>
      <c r="EX4" s="188">
        <f>EW4</f>
        <v>5</v>
      </c>
      <c r="EY4" s="188">
        <f>AV4</f>
        <v>5</v>
      </c>
      <c r="EZ4" s="188">
        <f>EY4</f>
        <v>5</v>
      </c>
      <c r="FA4" s="188">
        <f>AX4</f>
        <v>5</v>
      </c>
      <c r="FB4" s="188">
        <f>FA4</f>
        <v>5</v>
      </c>
      <c r="FC4" s="188">
        <f>AZ4</f>
        <v>5</v>
      </c>
      <c r="FD4" s="188">
        <f>FC4</f>
        <v>5</v>
      </c>
      <c r="FE4" s="188">
        <f>BB4</f>
        <v>6</v>
      </c>
      <c r="FF4" s="188">
        <f>FE4</f>
        <v>6</v>
      </c>
      <c r="FG4" s="188">
        <f>BD4</f>
        <v>6</v>
      </c>
      <c r="FH4" s="188">
        <f>FG4</f>
        <v>6</v>
      </c>
      <c r="FI4" s="188">
        <f>BF4</f>
        <v>6</v>
      </c>
      <c r="FJ4" s="188">
        <f>FI4</f>
        <v>6</v>
      </c>
      <c r="FK4" s="188">
        <f>BH4</f>
        <v>6</v>
      </c>
      <c r="FL4" s="188">
        <f>FK4</f>
        <v>6</v>
      </c>
      <c r="FM4" s="188">
        <f>BJ4</f>
        <v>6</v>
      </c>
      <c r="FN4" s="188">
        <f>FM4</f>
        <v>6</v>
      </c>
      <c r="FO4" s="188">
        <f>BL4</f>
        <v>7</v>
      </c>
      <c r="FP4" s="188">
        <f>FO4</f>
        <v>7</v>
      </c>
      <c r="FQ4" s="188">
        <f>BN4</f>
        <v>7</v>
      </c>
      <c r="FR4" s="188">
        <f>FQ4</f>
        <v>7</v>
      </c>
      <c r="FS4" s="188">
        <f>BP4</f>
        <v>7</v>
      </c>
      <c r="FT4" s="188">
        <f>FS4</f>
        <v>7</v>
      </c>
      <c r="FU4" s="188">
        <f>BR4</f>
        <v>7</v>
      </c>
      <c r="FV4" s="188">
        <f>FU4</f>
        <v>7</v>
      </c>
      <c r="FW4" s="188">
        <f>BT4</f>
        <v>7</v>
      </c>
      <c r="FX4" s="188">
        <f>FW4</f>
        <v>7</v>
      </c>
      <c r="FY4" s="188">
        <f>BV4</f>
        <v>8</v>
      </c>
      <c r="FZ4" s="188">
        <f>FY4</f>
        <v>8</v>
      </c>
      <c r="GA4" s="188">
        <f>BX4</f>
        <v>8</v>
      </c>
      <c r="GB4" s="188">
        <f>GA4</f>
        <v>8</v>
      </c>
      <c r="GC4" s="188">
        <f>BZ4</f>
        <v>8</v>
      </c>
      <c r="GD4" s="188">
        <f>GC4</f>
        <v>8</v>
      </c>
      <c r="GE4" s="188">
        <f>CB4</f>
        <v>8</v>
      </c>
      <c r="GF4" s="188">
        <f>GE4</f>
        <v>8</v>
      </c>
      <c r="GG4" s="188">
        <f>CD4</f>
        <v>8</v>
      </c>
      <c r="GH4" s="188">
        <f>GG4</f>
        <v>8</v>
      </c>
    </row>
    <row r="5" spans="1:148" s="13" customFormat="1" ht="27" customHeight="1">
      <c r="A5" s="250"/>
      <c r="B5" s="240" t="s">
        <v>32</v>
      </c>
      <c r="C5" s="255" t="s">
        <v>29</v>
      </c>
      <c r="D5" s="114" t="s">
        <v>96</v>
      </c>
      <c r="E5" s="115" t="s">
        <v>97</v>
      </c>
      <c r="F5" s="114" t="s">
        <v>96</v>
      </c>
      <c r="G5" s="115" t="s">
        <v>97</v>
      </c>
      <c r="H5" s="114" t="s">
        <v>96</v>
      </c>
      <c r="I5" s="115" t="s">
        <v>97</v>
      </c>
      <c r="J5" s="114" t="s">
        <v>96</v>
      </c>
      <c r="K5" s="115" t="s">
        <v>97</v>
      </c>
      <c r="L5" s="114" t="s">
        <v>96</v>
      </c>
      <c r="M5" s="115" t="s">
        <v>97</v>
      </c>
      <c r="N5" s="114" t="s">
        <v>96</v>
      </c>
      <c r="O5" s="115" t="s">
        <v>97</v>
      </c>
      <c r="P5" s="114" t="s">
        <v>96</v>
      </c>
      <c r="Q5" s="115" t="s">
        <v>97</v>
      </c>
      <c r="R5" s="114" t="s">
        <v>96</v>
      </c>
      <c r="S5" s="115" t="s">
        <v>97</v>
      </c>
      <c r="T5" s="114" t="s">
        <v>96</v>
      </c>
      <c r="U5" s="115" t="s">
        <v>97</v>
      </c>
      <c r="V5" s="114" t="s">
        <v>96</v>
      </c>
      <c r="W5" s="115" t="s">
        <v>97</v>
      </c>
      <c r="X5" s="114" t="s">
        <v>96</v>
      </c>
      <c r="Y5" s="115" t="s">
        <v>97</v>
      </c>
      <c r="Z5" s="114" t="s">
        <v>96</v>
      </c>
      <c r="AA5" s="115" t="s">
        <v>97</v>
      </c>
      <c r="AB5" s="114" t="s">
        <v>96</v>
      </c>
      <c r="AC5" s="115" t="s">
        <v>97</v>
      </c>
      <c r="AD5" s="114" t="s">
        <v>96</v>
      </c>
      <c r="AE5" s="115" t="s">
        <v>97</v>
      </c>
      <c r="AF5" s="114" t="s">
        <v>96</v>
      </c>
      <c r="AG5" s="115" t="s">
        <v>97</v>
      </c>
      <c r="AH5" s="114" t="s">
        <v>96</v>
      </c>
      <c r="AI5" s="115" t="s">
        <v>97</v>
      </c>
      <c r="AJ5" s="114" t="s">
        <v>96</v>
      </c>
      <c r="AK5" s="115" t="s">
        <v>97</v>
      </c>
      <c r="AL5" s="114" t="s">
        <v>96</v>
      </c>
      <c r="AM5" s="115" t="s">
        <v>97</v>
      </c>
      <c r="AN5" s="114" t="s">
        <v>96</v>
      </c>
      <c r="AO5" s="115" t="s">
        <v>97</v>
      </c>
      <c r="AP5" s="114" t="s">
        <v>96</v>
      </c>
      <c r="AQ5" s="115" t="s">
        <v>97</v>
      </c>
      <c r="AR5" s="114" t="s">
        <v>96</v>
      </c>
      <c r="AS5" s="115" t="s">
        <v>97</v>
      </c>
      <c r="AT5" s="114" t="s">
        <v>96</v>
      </c>
      <c r="AU5" s="115" t="s">
        <v>97</v>
      </c>
      <c r="AV5" s="114" t="s">
        <v>96</v>
      </c>
      <c r="AW5" s="115" t="s">
        <v>97</v>
      </c>
      <c r="AX5" s="114" t="s">
        <v>96</v>
      </c>
      <c r="AY5" s="115" t="s">
        <v>97</v>
      </c>
      <c r="AZ5" s="114" t="s">
        <v>96</v>
      </c>
      <c r="BA5" s="115" t="s">
        <v>97</v>
      </c>
      <c r="BB5" s="114" t="s">
        <v>96</v>
      </c>
      <c r="BC5" s="115" t="s">
        <v>97</v>
      </c>
      <c r="BD5" s="114" t="s">
        <v>96</v>
      </c>
      <c r="BE5" s="115" t="s">
        <v>97</v>
      </c>
      <c r="BF5" s="114" t="s">
        <v>96</v>
      </c>
      <c r="BG5" s="115" t="s">
        <v>97</v>
      </c>
      <c r="BH5" s="114" t="s">
        <v>96</v>
      </c>
      <c r="BI5" s="115" t="s">
        <v>97</v>
      </c>
      <c r="BJ5" s="114" t="s">
        <v>96</v>
      </c>
      <c r="BK5" s="115" t="s">
        <v>97</v>
      </c>
      <c r="BL5" s="114" t="s">
        <v>96</v>
      </c>
      <c r="BM5" s="115" t="s">
        <v>97</v>
      </c>
      <c r="BN5" s="114" t="s">
        <v>96</v>
      </c>
      <c r="BO5" s="115" t="s">
        <v>97</v>
      </c>
      <c r="BP5" s="114" t="s">
        <v>96</v>
      </c>
      <c r="BQ5" s="115" t="s">
        <v>97</v>
      </c>
      <c r="BR5" s="114" t="s">
        <v>96</v>
      </c>
      <c r="BS5" s="115" t="s">
        <v>97</v>
      </c>
      <c r="BT5" s="114" t="s">
        <v>96</v>
      </c>
      <c r="BU5" s="115" t="s">
        <v>97</v>
      </c>
      <c r="BV5" s="114" t="s">
        <v>96</v>
      </c>
      <c r="BW5" s="115" t="s">
        <v>97</v>
      </c>
      <c r="BX5" s="114" t="s">
        <v>96</v>
      </c>
      <c r="BY5" s="115" t="s">
        <v>97</v>
      </c>
      <c r="BZ5" s="114" t="s">
        <v>96</v>
      </c>
      <c r="CA5" s="115" t="s">
        <v>97</v>
      </c>
      <c r="CB5" s="114" t="s">
        <v>96</v>
      </c>
      <c r="CC5" s="115" t="s">
        <v>97</v>
      </c>
      <c r="CD5" s="114" t="s">
        <v>96</v>
      </c>
      <c r="CE5" s="115" t="s">
        <v>97</v>
      </c>
      <c r="CF5" s="114" t="s">
        <v>96</v>
      </c>
      <c r="CG5" s="115" t="s">
        <v>97</v>
      </c>
      <c r="CH5" s="112" t="s">
        <v>9</v>
      </c>
      <c r="CP5" s="131" t="s">
        <v>134</v>
      </c>
      <c r="CQ5" s="131" t="s">
        <v>96</v>
      </c>
      <c r="CR5" s="132" t="s">
        <v>97</v>
      </c>
      <c r="CS5" s="125" t="s">
        <v>9</v>
      </c>
      <c r="CU5" s="156" t="s">
        <v>171</v>
      </c>
      <c r="CV5" s="156" t="s">
        <v>172</v>
      </c>
      <c r="CW5" s="156" t="s">
        <v>165</v>
      </c>
      <c r="CY5" s="83" t="s">
        <v>40</v>
      </c>
      <c r="CZ5" s="85">
        <v>2</v>
      </c>
      <c r="DA5" s="84" t="s">
        <v>64</v>
      </c>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row>
    <row r="6" spans="1:148" s="13" customFormat="1" ht="14.25" customHeight="1">
      <c r="A6" s="251"/>
      <c r="B6" s="241"/>
      <c r="C6" s="256"/>
      <c r="D6" s="109">
        <v>12</v>
      </c>
      <c r="E6" s="110">
        <v>28</v>
      </c>
      <c r="F6" s="109">
        <v>26</v>
      </c>
      <c r="G6" s="110">
        <v>21</v>
      </c>
      <c r="H6" s="109">
        <v>24</v>
      </c>
      <c r="I6" s="110">
        <v>20</v>
      </c>
      <c r="J6" s="109">
        <v>24</v>
      </c>
      <c r="K6" s="110">
        <v>25</v>
      </c>
      <c r="L6" s="109">
        <v>24</v>
      </c>
      <c r="M6" s="110">
        <v>25</v>
      </c>
      <c r="N6" s="109">
        <v>24</v>
      </c>
      <c r="O6" s="110">
        <v>25</v>
      </c>
      <c r="P6" s="109">
        <v>24</v>
      </c>
      <c r="Q6" s="110">
        <v>25</v>
      </c>
      <c r="R6" s="109">
        <v>24</v>
      </c>
      <c r="S6" s="110">
        <v>25</v>
      </c>
      <c r="T6" s="109">
        <v>24</v>
      </c>
      <c r="U6" s="110">
        <v>25</v>
      </c>
      <c r="V6" s="109">
        <v>24</v>
      </c>
      <c r="W6" s="110">
        <v>25</v>
      </c>
      <c r="X6" s="109">
        <v>24</v>
      </c>
      <c r="Y6" s="110">
        <v>25</v>
      </c>
      <c r="Z6" s="109">
        <v>24</v>
      </c>
      <c r="AA6" s="110">
        <v>25</v>
      </c>
      <c r="AB6" s="109">
        <v>24</v>
      </c>
      <c r="AC6" s="110">
        <v>25</v>
      </c>
      <c r="AD6" s="109">
        <v>24</v>
      </c>
      <c r="AE6" s="110">
        <v>25</v>
      </c>
      <c r="AF6" s="109">
        <v>24</v>
      </c>
      <c r="AG6" s="110">
        <v>25</v>
      </c>
      <c r="AH6" s="109">
        <v>24</v>
      </c>
      <c r="AI6" s="110">
        <v>25</v>
      </c>
      <c r="AJ6" s="109">
        <v>24</v>
      </c>
      <c r="AK6" s="110">
        <v>25</v>
      </c>
      <c r="AL6" s="109">
        <v>24</v>
      </c>
      <c r="AM6" s="110">
        <v>25</v>
      </c>
      <c r="AN6" s="109">
        <v>24</v>
      </c>
      <c r="AO6" s="110">
        <v>25</v>
      </c>
      <c r="AP6" s="109">
        <v>24</v>
      </c>
      <c r="AQ6" s="110">
        <v>25</v>
      </c>
      <c r="AR6" s="109">
        <v>24</v>
      </c>
      <c r="AS6" s="110">
        <v>25</v>
      </c>
      <c r="AT6" s="109">
        <v>24</v>
      </c>
      <c r="AU6" s="110">
        <v>25</v>
      </c>
      <c r="AV6" s="109">
        <v>24</v>
      </c>
      <c r="AW6" s="110">
        <v>25</v>
      </c>
      <c r="AX6" s="109">
        <v>24</v>
      </c>
      <c r="AY6" s="110">
        <v>25</v>
      </c>
      <c r="AZ6" s="109">
        <v>24</v>
      </c>
      <c r="BA6" s="110">
        <v>25</v>
      </c>
      <c r="BB6" s="109">
        <v>24</v>
      </c>
      <c r="BC6" s="110">
        <v>25</v>
      </c>
      <c r="BD6" s="109">
        <v>24</v>
      </c>
      <c r="BE6" s="110">
        <v>25</v>
      </c>
      <c r="BF6" s="109">
        <v>24</v>
      </c>
      <c r="BG6" s="110">
        <v>25</v>
      </c>
      <c r="BH6" s="109">
        <v>24</v>
      </c>
      <c r="BI6" s="110">
        <v>25</v>
      </c>
      <c r="BJ6" s="109">
        <v>18</v>
      </c>
      <c r="BK6" s="110">
        <v>28</v>
      </c>
      <c r="BL6" s="109">
        <v>20</v>
      </c>
      <c r="BM6" s="110">
        <v>18</v>
      </c>
      <c r="BN6" s="109">
        <v>9</v>
      </c>
      <c r="BO6" s="110">
        <v>25</v>
      </c>
      <c r="BP6" s="109">
        <v>26</v>
      </c>
      <c r="BQ6" s="110">
        <v>15</v>
      </c>
      <c r="BR6" s="109">
        <v>23</v>
      </c>
      <c r="BS6" s="110">
        <v>23</v>
      </c>
      <c r="BT6" s="109">
        <v>24</v>
      </c>
      <c r="BU6" s="110">
        <v>25</v>
      </c>
      <c r="BV6" s="109">
        <v>25</v>
      </c>
      <c r="BW6" s="110">
        <v>21</v>
      </c>
      <c r="BX6" s="109">
        <v>20</v>
      </c>
      <c r="BY6" s="110">
        <v>23</v>
      </c>
      <c r="BZ6" s="109">
        <v>20</v>
      </c>
      <c r="CA6" s="110">
        <v>25</v>
      </c>
      <c r="CB6" s="109">
        <v>26</v>
      </c>
      <c r="CC6" s="110">
        <v>16</v>
      </c>
      <c r="CD6" s="109">
        <v>26</v>
      </c>
      <c r="CE6" s="110">
        <v>20</v>
      </c>
      <c r="CF6" s="142">
        <f>SUMIF($D$5:$CE$5,"Boys",D6:CE6)</f>
        <v>923</v>
      </c>
      <c r="CG6" s="142">
        <f>SUMIF($D$5:$CE$5,"Girls",D6:CE6)</f>
        <v>958</v>
      </c>
      <c r="CH6" s="143">
        <f>SUM(CF6:CG6)</f>
        <v>1881</v>
      </c>
      <c r="CP6" s="130">
        <v>1</v>
      </c>
      <c r="CQ6" s="130">
        <f>_xlfn.SUMIFS($D$31:$CE$31,$D$5:$CE$5,$CQ$5,$DG$4:$GH$4,$CP6)</f>
        <v>1609</v>
      </c>
      <c r="CR6" s="133">
        <f>_xlfn.SUMIFS($D$31:$CE$31,$D$5:$CE$5,$CR$5,$DG$4:$GH$4,$CP6)</f>
        <v>1752</v>
      </c>
      <c r="CS6" s="125">
        <f>SUM(CQ6:CR6)</f>
        <v>3361</v>
      </c>
      <c r="CU6" s="156">
        <f>SUM(CS6:CS10)</f>
        <v>17746</v>
      </c>
      <c r="CV6" s="156">
        <f>SUM(CS11:CS12)</f>
        <v>6605</v>
      </c>
      <c r="CW6" s="156">
        <f>SUM(CS13)</f>
        <v>3251</v>
      </c>
      <c r="CY6" s="83" t="s">
        <v>41</v>
      </c>
      <c r="CZ6" s="83">
        <v>3</v>
      </c>
      <c r="DA6" s="84" t="s">
        <v>65</v>
      </c>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row>
    <row r="7" spans="1:148" s="12" customFormat="1" ht="15.75" customHeight="1">
      <c r="A7" s="111">
        <v>1</v>
      </c>
      <c r="B7" s="14">
        <v>1</v>
      </c>
      <c r="C7" s="87">
        <f aca="true" t="shared" si="0" ref="C7:C30">IF(A7="","",DATE($O$3,$CZ$2,A7))</f>
        <v>40422</v>
      </c>
      <c r="D7" s="149">
        <v>12</v>
      </c>
      <c r="E7" s="149">
        <v>27</v>
      </c>
      <c r="F7" s="149">
        <v>25</v>
      </c>
      <c r="G7" s="149">
        <v>20</v>
      </c>
      <c r="H7" s="149">
        <v>23</v>
      </c>
      <c r="I7" s="149">
        <v>19</v>
      </c>
      <c r="J7" s="149">
        <v>23</v>
      </c>
      <c r="K7" s="149">
        <v>24</v>
      </c>
      <c r="L7" s="187">
        <v>23</v>
      </c>
      <c r="M7" s="187">
        <v>24</v>
      </c>
      <c r="N7" s="187">
        <v>24</v>
      </c>
      <c r="O7" s="187">
        <v>24</v>
      </c>
      <c r="P7" s="187">
        <v>24</v>
      </c>
      <c r="Q7" s="187">
        <v>24</v>
      </c>
      <c r="R7" s="187">
        <v>24</v>
      </c>
      <c r="S7" s="187">
        <v>25</v>
      </c>
      <c r="T7" s="187">
        <v>24</v>
      </c>
      <c r="U7" s="187">
        <v>24</v>
      </c>
      <c r="V7" s="187">
        <v>23</v>
      </c>
      <c r="W7" s="187">
        <v>24</v>
      </c>
      <c r="X7" s="187">
        <v>23</v>
      </c>
      <c r="Y7" s="187">
        <v>24</v>
      </c>
      <c r="Z7" s="187">
        <v>24</v>
      </c>
      <c r="AA7" s="187">
        <v>25</v>
      </c>
      <c r="AB7" s="187">
        <v>23</v>
      </c>
      <c r="AC7" s="187">
        <v>24</v>
      </c>
      <c r="AD7" s="187">
        <v>24</v>
      </c>
      <c r="AE7" s="187">
        <v>24</v>
      </c>
      <c r="AF7" s="187">
        <v>24</v>
      </c>
      <c r="AG7" s="187">
        <v>25</v>
      </c>
      <c r="AH7" s="187">
        <v>24</v>
      </c>
      <c r="AI7" s="187">
        <v>24</v>
      </c>
      <c r="AJ7" s="187">
        <v>23</v>
      </c>
      <c r="AK7" s="187">
        <v>25</v>
      </c>
      <c r="AL7" s="187">
        <v>23</v>
      </c>
      <c r="AM7" s="187">
        <v>25</v>
      </c>
      <c r="AN7" s="187">
        <v>24</v>
      </c>
      <c r="AO7" s="187">
        <v>25</v>
      </c>
      <c r="AP7" s="187">
        <v>23</v>
      </c>
      <c r="AQ7" s="187">
        <v>24</v>
      </c>
      <c r="AR7" s="187">
        <v>23</v>
      </c>
      <c r="AS7" s="187">
        <v>24</v>
      </c>
      <c r="AT7" s="187">
        <v>24</v>
      </c>
      <c r="AU7" s="187">
        <v>24</v>
      </c>
      <c r="AV7" s="187">
        <v>23</v>
      </c>
      <c r="AW7" s="187">
        <v>24</v>
      </c>
      <c r="AX7" s="187">
        <v>23</v>
      </c>
      <c r="AY7" s="187">
        <v>24</v>
      </c>
      <c r="AZ7" s="187">
        <v>24</v>
      </c>
      <c r="BA7" s="187">
        <v>25</v>
      </c>
      <c r="BB7" s="187">
        <v>23</v>
      </c>
      <c r="BC7" s="187">
        <v>25</v>
      </c>
      <c r="BD7" s="187">
        <v>23</v>
      </c>
      <c r="BE7" s="187">
        <v>25</v>
      </c>
      <c r="BF7" s="187">
        <v>24</v>
      </c>
      <c r="BG7" s="187">
        <v>24</v>
      </c>
      <c r="BH7" s="149">
        <v>23</v>
      </c>
      <c r="BI7" s="149">
        <v>24</v>
      </c>
      <c r="BJ7" s="149">
        <v>17</v>
      </c>
      <c r="BK7" s="149">
        <v>28</v>
      </c>
      <c r="BL7" s="149">
        <v>20</v>
      </c>
      <c r="BM7" s="149">
        <v>17</v>
      </c>
      <c r="BN7" s="149">
        <v>8</v>
      </c>
      <c r="BO7" s="149">
        <v>25</v>
      </c>
      <c r="BP7" s="149">
        <v>25</v>
      </c>
      <c r="BQ7" s="149">
        <v>14</v>
      </c>
      <c r="BR7" s="149">
        <v>22</v>
      </c>
      <c r="BS7" s="149">
        <v>22</v>
      </c>
      <c r="BT7" s="149">
        <v>24</v>
      </c>
      <c r="BU7" s="149">
        <v>24</v>
      </c>
      <c r="BV7" s="149">
        <v>25</v>
      </c>
      <c r="BW7" s="149">
        <v>20</v>
      </c>
      <c r="BX7" s="149">
        <v>20</v>
      </c>
      <c r="BY7" s="149">
        <v>23</v>
      </c>
      <c r="BZ7" s="149">
        <v>19</v>
      </c>
      <c r="CA7" s="149">
        <v>24</v>
      </c>
      <c r="CB7" s="149">
        <v>25</v>
      </c>
      <c r="CC7" s="149">
        <v>15</v>
      </c>
      <c r="CD7" s="149">
        <v>26</v>
      </c>
      <c r="CE7" s="149">
        <v>20</v>
      </c>
      <c r="CF7" s="113">
        <f aca="true" t="shared" si="1" ref="CF7:CF30">IF(E7&lt;&gt;"",SUMIF($D$5:$CE$5,"Boys",D7:CE7),"")</f>
        <v>901</v>
      </c>
      <c r="CG7" s="113">
        <f aca="true" t="shared" si="2" ref="CG7:CG30">IF(E7&lt;&gt;"",SUMIF($D$5:$CE$5,"Girls",D7:CE7),"")</f>
        <v>931</v>
      </c>
      <c r="CH7" s="86">
        <f>IF(CF7&lt;&gt;"",SUM(CF7:CG7),"")</f>
        <v>1832</v>
      </c>
      <c r="CP7" s="130">
        <v>2</v>
      </c>
      <c r="CQ7" s="130">
        <f aca="true" t="shared" si="3" ref="CQ7:CQ15">_xlfn.SUMIFS($D$31:$CE$31,$D$5:$CE$5,$CQ$5,$DG$4:$GH$4,$CP7)</f>
        <v>1762</v>
      </c>
      <c r="CR7" s="133">
        <f aca="true" t="shared" si="4" ref="CR7:CR15">_xlfn.SUMIFS($D$31:$CE$31,$D$5:$CE$5,$CR$5,$DG$4:$GH$4,$CP7)</f>
        <v>1838</v>
      </c>
      <c r="CS7" s="125">
        <f aca="true" t="shared" si="5" ref="CS7:CS12">SUM(CQ7:CR7)</f>
        <v>3600</v>
      </c>
      <c r="CY7" s="83" t="s">
        <v>42</v>
      </c>
      <c r="CZ7" s="85">
        <v>4</v>
      </c>
      <c r="DA7" s="84" t="s">
        <v>66</v>
      </c>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row>
    <row r="8" spans="1:148" s="12" customFormat="1" ht="15.75" customHeight="1">
      <c r="A8" s="111">
        <v>3</v>
      </c>
      <c r="B8" s="14">
        <f>IF(A8&lt;&gt;"",B7+1,"")</f>
        <v>2</v>
      </c>
      <c r="C8" s="87">
        <f t="shared" si="0"/>
        <v>40424</v>
      </c>
      <c r="D8" s="149">
        <v>11</v>
      </c>
      <c r="E8" s="149">
        <v>28</v>
      </c>
      <c r="F8" s="149">
        <v>26</v>
      </c>
      <c r="G8" s="149">
        <v>21</v>
      </c>
      <c r="H8" s="149">
        <v>23</v>
      </c>
      <c r="I8" s="149">
        <v>19</v>
      </c>
      <c r="J8" s="149">
        <v>23</v>
      </c>
      <c r="K8" s="149">
        <v>24</v>
      </c>
      <c r="L8" s="187">
        <v>23</v>
      </c>
      <c r="M8" s="187">
        <v>24</v>
      </c>
      <c r="N8" s="187">
        <v>23</v>
      </c>
      <c r="O8" s="187">
        <v>24</v>
      </c>
      <c r="P8" s="187">
        <v>24</v>
      </c>
      <c r="Q8" s="187">
        <v>24</v>
      </c>
      <c r="R8" s="187">
        <v>23</v>
      </c>
      <c r="S8" s="187">
        <v>25</v>
      </c>
      <c r="T8" s="187">
        <v>24</v>
      </c>
      <c r="U8" s="187">
        <v>25</v>
      </c>
      <c r="V8" s="187">
        <v>24</v>
      </c>
      <c r="W8" s="187">
        <v>24</v>
      </c>
      <c r="X8" s="187">
        <v>23</v>
      </c>
      <c r="Y8" s="187">
        <v>24</v>
      </c>
      <c r="Z8" s="187">
        <v>23</v>
      </c>
      <c r="AA8" s="187">
        <v>24</v>
      </c>
      <c r="AB8" s="187">
        <v>23</v>
      </c>
      <c r="AC8" s="187">
        <v>24</v>
      </c>
      <c r="AD8" s="187">
        <v>23</v>
      </c>
      <c r="AE8" s="187">
        <v>24</v>
      </c>
      <c r="AF8" s="187">
        <v>24</v>
      </c>
      <c r="AG8" s="187">
        <v>24</v>
      </c>
      <c r="AH8" s="187">
        <v>24</v>
      </c>
      <c r="AI8" s="187">
        <v>25</v>
      </c>
      <c r="AJ8" s="187">
        <v>23</v>
      </c>
      <c r="AK8" s="187">
        <v>24</v>
      </c>
      <c r="AL8" s="187">
        <v>24</v>
      </c>
      <c r="AM8" s="187">
        <v>24</v>
      </c>
      <c r="AN8" s="187">
        <v>23</v>
      </c>
      <c r="AO8" s="187">
        <v>25</v>
      </c>
      <c r="AP8" s="187">
        <v>24</v>
      </c>
      <c r="AQ8" s="187">
        <v>25</v>
      </c>
      <c r="AR8" s="187">
        <v>23</v>
      </c>
      <c r="AS8" s="187">
        <v>24</v>
      </c>
      <c r="AT8" s="187">
        <v>24</v>
      </c>
      <c r="AU8" s="187">
        <v>24</v>
      </c>
      <c r="AV8" s="187">
        <v>24</v>
      </c>
      <c r="AW8" s="187">
        <v>24</v>
      </c>
      <c r="AX8" s="187">
        <v>23</v>
      </c>
      <c r="AY8" s="187">
        <v>24</v>
      </c>
      <c r="AZ8" s="187">
        <v>23</v>
      </c>
      <c r="BA8" s="187">
        <v>25</v>
      </c>
      <c r="BB8" s="187">
        <v>23</v>
      </c>
      <c r="BC8" s="187">
        <v>24</v>
      </c>
      <c r="BD8" s="187">
        <v>24</v>
      </c>
      <c r="BE8" s="187">
        <v>25</v>
      </c>
      <c r="BF8" s="187">
        <v>24</v>
      </c>
      <c r="BG8" s="187">
        <v>24</v>
      </c>
      <c r="BH8" s="149">
        <v>24</v>
      </c>
      <c r="BI8" s="149">
        <v>24</v>
      </c>
      <c r="BJ8" s="149">
        <v>18</v>
      </c>
      <c r="BK8" s="149">
        <v>28</v>
      </c>
      <c r="BL8" s="149">
        <v>19</v>
      </c>
      <c r="BM8" s="149">
        <v>18</v>
      </c>
      <c r="BN8" s="149">
        <v>8</v>
      </c>
      <c r="BO8" s="149">
        <v>24</v>
      </c>
      <c r="BP8" s="149">
        <v>25</v>
      </c>
      <c r="BQ8" s="149">
        <v>15</v>
      </c>
      <c r="BR8" s="149">
        <v>23</v>
      </c>
      <c r="BS8" s="149">
        <v>22</v>
      </c>
      <c r="BT8" s="149">
        <v>23</v>
      </c>
      <c r="BU8" s="149">
        <v>25</v>
      </c>
      <c r="BV8" s="149">
        <v>25</v>
      </c>
      <c r="BW8" s="149">
        <v>20</v>
      </c>
      <c r="BX8" s="149">
        <v>20</v>
      </c>
      <c r="BY8" s="149">
        <v>23</v>
      </c>
      <c r="BZ8" s="149">
        <v>20</v>
      </c>
      <c r="CA8" s="149">
        <v>24</v>
      </c>
      <c r="CB8" s="149">
        <v>26</v>
      </c>
      <c r="CC8" s="149">
        <v>16</v>
      </c>
      <c r="CD8" s="149">
        <v>25</v>
      </c>
      <c r="CE8" s="149">
        <v>19</v>
      </c>
      <c r="CF8" s="116">
        <f t="shared" si="1"/>
        <v>902</v>
      </c>
      <c r="CG8" s="116">
        <f t="shared" si="2"/>
        <v>933</v>
      </c>
      <c r="CH8" s="86">
        <f aca="true" t="shared" si="6" ref="CH8:CH30">IF(CF8&lt;&gt;"",SUM(CF8:CG8),"")</f>
        <v>1835</v>
      </c>
      <c r="CP8" s="130">
        <v>3</v>
      </c>
      <c r="CQ8" s="130">
        <f t="shared" si="3"/>
        <v>1758</v>
      </c>
      <c r="CR8" s="133">
        <f t="shared" si="4"/>
        <v>1836</v>
      </c>
      <c r="CS8" s="125">
        <f t="shared" si="5"/>
        <v>3594</v>
      </c>
      <c r="CY8" s="83" t="s">
        <v>43</v>
      </c>
      <c r="CZ8" s="83">
        <v>5</v>
      </c>
      <c r="DA8" s="84" t="s">
        <v>67</v>
      </c>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row>
    <row r="9" spans="1:148" s="12" customFormat="1" ht="15.75" customHeight="1">
      <c r="A9" s="111">
        <v>4</v>
      </c>
      <c r="B9" s="14">
        <f aca="true" t="shared" si="7" ref="B9:B30">IF(A9&lt;&gt;"",B8+1,"")</f>
        <v>3</v>
      </c>
      <c r="C9" s="87">
        <f t="shared" si="0"/>
        <v>40425</v>
      </c>
      <c r="D9" s="149">
        <v>11</v>
      </c>
      <c r="E9" s="149">
        <v>28</v>
      </c>
      <c r="F9" s="149">
        <v>25</v>
      </c>
      <c r="G9" s="149">
        <v>21</v>
      </c>
      <c r="H9" s="149">
        <v>23</v>
      </c>
      <c r="I9" s="149">
        <v>20</v>
      </c>
      <c r="J9" s="149">
        <v>23</v>
      </c>
      <c r="K9" s="149">
        <v>25</v>
      </c>
      <c r="L9" s="187">
        <v>24</v>
      </c>
      <c r="M9" s="187">
        <v>25</v>
      </c>
      <c r="N9" s="187">
        <v>23</v>
      </c>
      <c r="O9" s="187">
        <v>25</v>
      </c>
      <c r="P9" s="187">
        <v>23</v>
      </c>
      <c r="Q9" s="187">
        <v>25</v>
      </c>
      <c r="R9" s="187">
        <v>23</v>
      </c>
      <c r="S9" s="187">
        <v>24</v>
      </c>
      <c r="T9" s="187">
        <v>23</v>
      </c>
      <c r="U9" s="187">
        <v>24</v>
      </c>
      <c r="V9" s="187">
        <v>24</v>
      </c>
      <c r="W9" s="187">
        <v>25</v>
      </c>
      <c r="X9" s="187">
        <v>23</v>
      </c>
      <c r="Y9" s="187">
        <v>24</v>
      </c>
      <c r="Z9" s="187">
        <v>23</v>
      </c>
      <c r="AA9" s="187">
        <v>24</v>
      </c>
      <c r="AB9" s="187">
        <v>23</v>
      </c>
      <c r="AC9" s="187">
        <v>24</v>
      </c>
      <c r="AD9" s="187">
        <v>23</v>
      </c>
      <c r="AE9" s="187">
        <v>24</v>
      </c>
      <c r="AF9" s="187">
        <v>23</v>
      </c>
      <c r="AG9" s="187">
        <v>25</v>
      </c>
      <c r="AH9" s="187">
        <v>24</v>
      </c>
      <c r="AI9" s="187">
        <v>24</v>
      </c>
      <c r="AJ9" s="187">
        <v>23</v>
      </c>
      <c r="AK9" s="187">
        <v>25</v>
      </c>
      <c r="AL9" s="187">
        <v>24</v>
      </c>
      <c r="AM9" s="187">
        <v>25</v>
      </c>
      <c r="AN9" s="187">
        <v>24</v>
      </c>
      <c r="AO9" s="187">
        <v>24</v>
      </c>
      <c r="AP9" s="187">
        <v>23</v>
      </c>
      <c r="AQ9" s="187">
        <v>25</v>
      </c>
      <c r="AR9" s="187">
        <v>23</v>
      </c>
      <c r="AS9" s="187">
        <v>25</v>
      </c>
      <c r="AT9" s="187">
        <v>24</v>
      </c>
      <c r="AU9" s="187">
        <v>24</v>
      </c>
      <c r="AV9" s="187">
        <v>23</v>
      </c>
      <c r="AW9" s="187">
        <v>25</v>
      </c>
      <c r="AX9" s="187">
        <v>24</v>
      </c>
      <c r="AY9" s="187">
        <v>25</v>
      </c>
      <c r="AZ9" s="187">
        <v>23</v>
      </c>
      <c r="BA9" s="187">
        <v>25</v>
      </c>
      <c r="BB9" s="187">
        <v>23</v>
      </c>
      <c r="BC9" s="187">
        <v>25</v>
      </c>
      <c r="BD9" s="187">
        <v>23</v>
      </c>
      <c r="BE9" s="187">
        <v>25</v>
      </c>
      <c r="BF9" s="187">
        <v>24</v>
      </c>
      <c r="BG9" s="187">
        <v>25</v>
      </c>
      <c r="BH9" s="149">
        <v>24</v>
      </c>
      <c r="BI9" s="149">
        <v>24</v>
      </c>
      <c r="BJ9" s="149">
        <v>17</v>
      </c>
      <c r="BK9" s="149">
        <v>28</v>
      </c>
      <c r="BL9" s="149">
        <v>20</v>
      </c>
      <c r="BM9" s="149">
        <v>17</v>
      </c>
      <c r="BN9" s="149">
        <v>9</v>
      </c>
      <c r="BO9" s="149">
        <v>25</v>
      </c>
      <c r="BP9" s="149">
        <v>26</v>
      </c>
      <c r="BQ9" s="149">
        <v>14</v>
      </c>
      <c r="BR9" s="149">
        <v>23</v>
      </c>
      <c r="BS9" s="149">
        <v>23</v>
      </c>
      <c r="BT9" s="149">
        <v>23</v>
      </c>
      <c r="BU9" s="149">
        <v>24</v>
      </c>
      <c r="BV9" s="149">
        <v>24</v>
      </c>
      <c r="BW9" s="149">
        <v>20</v>
      </c>
      <c r="BX9" s="149">
        <v>20</v>
      </c>
      <c r="BY9" s="149">
        <v>23</v>
      </c>
      <c r="BZ9" s="149">
        <v>19</v>
      </c>
      <c r="CA9" s="149">
        <v>25</v>
      </c>
      <c r="CB9" s="149">
        <v>25</v>
      </c>
      <c r="CC9" s="149">
        <v>15</v>
      </c>
      <c r="CD9" s="149">
        <v>26</v>
      </c>
      <c r="CE9" s="149">
        <v>19</v>
      </c>
      <c r="CF9" s="116">
        <f t="shared" si="1"/>
        <v>898</v>
      </c>
      <c r="CG9" s="116">
        <f t="shared" si="2"/>
        <v>942</v>
      </c>
      <c r="CH9" s="86">
        <f t="shared" si="6"/>
        <v>1840</v>
      </c>
      <c r="CP9" s="130">
        <v>4</v>
      </c>
      <c r="CQ9" s="130">
        <f t="shared" si="3"/>
        <v>1756</v>
      </c>
      <c r="CR9" s="133">
        <f t="shared" si="4"/>
        <v>1839</v>
      </c>
      <c r="CS9" s="125">
        <f t="shared" si="5"/>
        <v>3595</v>
      </c>
      <c r="CY9" s="83" t="s">
        <v>44</v>
      </c>
      <c r="CZ9" s="85">
        <v>6</v>
      </c>
      <c r="DA9" s="84" t="s">
        <v>68</v>
      </c>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row>
    <row r="10" spans="1:148" s="12" customFormat="1" ht="15.75" customHeight="1">
      <c r="A10" s="111">
        <v>5</v>
      </c>
      <c r="B10" s="14">
        <f t="shared" si="7"/>
        <v>4</v>
      </c>
      <c r="C10" s="87">
        <f t="shared" si="0"/>
        <v>40426</v>
      </c>
      <c r="D10" s="149">
        <v>12</v>
      </c>
      <c r="E10" s="149">
        <v>28</v>
      </c>
      <c r="F10" s="149">
        <v>26</v>
      </c>
      <c r="G10" s="149">
        <v>21</v>
      </c>
      <c r="H10" s="149">
        <v>24</v>
      </c>
      <c r="I10" s="149">
        <v>19</v>
      </c>
      <c r="J10" s="149">
        <v>24</v>
      </c>
      <c r="K10" s="149">
        <v>25</v>
      </c>
      <c r="L10" s="187">
        <v>23</v>
      </c>
      <c r="M10" s="187">
        <v>24</v>
      </c>
      <c r="N10" s="187">
        <v>23</v>
      </c>
      <c r="O10" s="187">
        <v>25</v>
      </c>
      <c r="P10" s="187">
        <v>24</v>
      </c>
      <c r="Q10" s="187">
        <v>25</v>
      </c>
      <c r="R10" s="187">
        <v>23</v>
      </c>
      <c r="S10" s="187">
        <v>24</v>
      </c>
      <c r="T10" s="187">
        <v>24</v>
      </c>
      <c r="U10" s="187">
        <v>25</v>
      </c>
      <c r="V10" s="187">
        <v>24</v>
      </c>
      <c r="W10" s="187">
        <v>25</v>
      </c>
      <c r="X10" s="187">
        <v>24</v>
      </c>
      <c r="Y10" s="187">
        <v>25</v>
      </c>
      <c r="Z10" s="187">
        <v>23</v>
      </c>
      <c r="AA10" s="187">
        <v>25</v>
      </c>
      <c r="AB10" s="187">
        <v>24</v>
      </c>
      <c r="AC10" s="187">
        <v>24</v>
      </c>
      <c r="AD10" s="187">
        <v>24</v>
      </c>
      <c r="AE10" s="187">
        <v>24</v>
      </c>
      <c r="AF10" s="187">
        <v>23</v>
      </c>
      <c r="AG10" s="187">
        <v>24</v>
      </c>
      <c r="AH10" s="187">
        <v>23</v>
      </c>
      <c r="AI10" s="187">
        <v>25</v>
      </c>
      <c r="AJ10" s="187">
        <v>23</v>
      </c>
      <c r="AK10" s="187">
        <v>25</v>
      </c>
      <c r="AL10" s="187">
        <v>23</v>
      </c>
      <c r="AM10" s="187">
        <v>24</v>
      </c>
      <c r="AN10" s="187">
        <v>24</v>
      </c>
      <c r="AO10" s="187">
        <v>25</v>
      </c>
      <c r="AP10" s="187">
        <v>24</v>
      </c>
      <c r="AQ10" s="187">
        <v>24</v>
      </c>
      <c r="AR10" s="187">
        <v>23</v>
      </c>
      <c r="AS10" s="187">
        <v>25</v>
      </c>
      <c r="AT10" s="187">
        <v>23</v>
      </c>
      <c r="AU10" s="187">
        <v>24</v>
      </c>
      <c r="AV10" s="187">
        <v>23</v>
      </c>
      <c r="AW10" s="187">
        <v>25</v>
      </c>
      <c r="AX10" s="187">
        <v>23</v>
      </c>
      <c r="AY10" s="187">
        <v>24</v>
      </c>
      <c r="AZ10" s="187">
        <v>23</v>
      </c>
      <c r="BA10" s="187">
        <v>24</v>
      </c>
      <c r="BB10" s="187">
        <v>23</v>
      </c>
      <c r="BC10" s="187">
        <v>25</v>
      </c>
      <c r="BD10" s="187">
        <v>23</v>
      </c>
      <c r="BE10" s="187">
        <v>25</v>
      </c>
      <c r="BF10" s="187">
        <v>24</v>
      </c>
      <c r="BG10" s="187">
        <v>24</v>
      </c>
      <c r="BH10" s="149">
        <v>24</v>
      </c>
      <c r="BI10" s="149">
        <v>25</v>
      </c>
      <c r="BJ10" s="149">
        <v>18</v>
      </c>
      <c r="BK10" s="149">
        <v>28</v>
      </c>
      <c r="BL10" s="149">
        <v>20</v>
      </c>
      <c r="BM10" s="149">
        <v>17</v>
      </c>
      <c r="BN10" s="149">
        <v>9</v>
      </c>
      <c r="BO10" s="149">
        <v>24</v>
      </c>
      <c r="BP10" s="149">
        <v>25</v>
      </c>
      <c r="BQ10" s="149">
        <v>15</v>
      </c>
      <c r="BR10" s="149">
        <v>22</v>
      </c>
      <c r="BS10" s="149">
        <v>23</v>
      </c>
      <c r="BT10" s="149">
        <v>23</v>
      </c>
      <c r="BU10" s="149">
        <v>24</v>
      </c>
      <c r="BV10" s="149">
        <v>24</v>
      </c>
      <c r="BW10" s="149">
        <v>21</v>
      </c>
      <c r="BX10" s="149">
        <v>19</v>
      </c>
      <c r="BY10" s="149">
        <v>22</v>
      </c>
      <c r="BZ10" s="149">
        <v>19</v>
      </c>
      <c r="CA10" s="149">
        <v>24</v>
      </c>
      <c r="CB10" s="149">
        <v>25</v>
      </c>
      <c r="CC10" s="149">
        <v>15</v>
      </c>
      <c r="CD10" s="149">
        <v>26</v>
      </c>
      <c r="CE10" s="149">
        <v>20</v>
      </c>
      <c r="CF10" s="116">
        <f t="shared" si="1"/>
        <v>901</v>
      </c>
      <c r="CG10" s="116">
        <f t="shared" si="2"/>
        <v>940</v>
      </c>
      <c r="CH10" s="86">
        <f t="shared" si="6"/>
        <v>1841</v>
      </c>
      <c r="CP10" s="130">
        <v>5</v>
      </c>
      <c r="CQ10" s="130">
        <f t="shared" si="3"/>
        <v>1760</v>
      </c>
      <c r="CR10" s="133">
        <f t="shared" si="4"/>
        <v>1836</v>
      </c>
      <c r="CS10" s="125">
        <f t="shared" si="5"/>
        <v>3596</v>
      </c>
      <c r="CY10" s="83" t="s">
        <v>45</v>
      </c>
      <c r="CZ10" s="83">
        <v>7</v>
      </c>
      <c r="DA10" s="84" t="s">
        <v>69</v>
      </c>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row>
    <row r="11" spans="1:148" s="12" customFormat="1" ht="15.75" customHeight="1">
      <c r="A11" s="111">
        <v>6</v>
      </c>
      <c r="B11" s="14">
        <f t="shared" si="7"/>
        <v>5</v>
      </c>
      <c r="C11" s="87">
        <f t="shared" si="0"/>
        <v>40427</v>
      </c>
      <c r="D11" s="149">
        <v>12</v>
      </c>
      <c r="E11" s="149">
        <v>28</v>
      </c>
      <c r="F11" s="149">
        <v>25</v>
      </c>
      <c r="G11" s="149">
        <v>20</v>
      </c>
      <c r="H11" s="149">
        <v>23</v>
      </c>
      <c r="I11" s="149">
        <v>19</v>
      </c>
      <c r="J11" s="149">
        <v>23</v>
      </c>
      <c r="K11" s="149">
        <v>24</v>
      </c>
      <c r="L11" s="187">
        <v>24</v>
      </c>
      <c r="M11" s="187">
        <v>25</v>
      </c>
      <c r="N11" s="187">
        <v>24</v>
      </c>
      <c r="O11" s="187">
        <v>25</v>
      </c>
      <c r="P11" s="187">
        <v>23</v>
      </c>
      <c r="Q11" s="187">
        <v>25</v>
      </c>
      <c r="R11" s="187">
        <v>23</v>
      </c>
      <c r="S11" s="187">
        <v>24</v>
      </c>
      <c r="T11" s="187">
        <v>24</v>
      </c>
      <c r="U11" s="187">
        <v>24</v>
      </c>
      <c r="V11" s="187">
        <v>23</v>
      </c>
      <c r="W11" s="187">
        <v>24</v>
      </c>
      <c r="X11" s="187">
        <v>23</v>
      </c>
      <c r="Y11" s="187">
        <v>24</v>
      </c>
      <c r="Z11" s="187">
        <v>24</v>
      </c>
      <c r="AA11" s="187">
        <v>25</v>
      </c>
      <c r="AB11" s="187">
        <v>24</v>
      </c>
      <c r="AC11" s="187">
        <v>25</v>
      </c>
      <c r="AD11" s="187">
        <v>24</v>
      </c>
      <c r="AE11" s="187">
        <v>24</v>
      </c>
      <c r="AF11" s="187">
        <v>24</v>
      </c>
      <c r="AG11" s="187">
        <v>24</v>
      </c>
      <c r="AH11" s="187">
        <v>23</v>
      </c>
      <c r="AI11" s="187">
        <v>24</v>
      </c>
      <c r="AJ11" s="187">
        <v>23</v>
      </c>
      <c r="AK11" s="187">
        <v>25</v>
      </c>
      <c r="AL11" s="187">
        <v>24</v>
      </c>
      <c r="AM11" s="187">
        <v>24</v>
      </c>
      <c r="AN11" s="187">
        <v>23</v>
      </c>
      <c r="AO11" s="187">
        <v>25</v>
      </c>
      <c r="AP11" s="187">
        <v>23</v>
      </c>
      <c r="AQ11" s="187">
        <v>24</v>
      </c>
      <c r="AR11" s="187">
        <v>24</v>
      </c>
      <c r="AS11" s="187">
        <v>25</v>
      </c>
      <c r="AT11" s="187">
        <v>24</v>
      </c>
      <c r="AU11" s="187">
        <v>24</v>
      </c>
      <c r="AV11" s="187">
        <v>23</v>
      </c>
      <c r="AW11" s="187">
        <v>25</v>
      </c>
      <c r="AX11" s="187">
        <v>23</v>
      </c>
      <c r="AY11" s="187">
        <v>25</v>
      </c>
      <c r="AZ11" s="187">
        <v>24</v>
      </c>
      <c r="BA11" s="187">
        <v>25</v>
      </c>
      <c r="BB11" s="187">
        <v>24</v>
      </c>
      <c r="BC11" s="187">
        <v>25</v>
      </c>
      <c r="BD11" s="187">
        <v>23</v>
      </c>
      <c r="BE11" s="187">
        <v>24</v>
      </c>
      <c r="BF11" s="187">
        <v>23</v>
      </c>
      <c r="BG11" s="187">
        <v>24</v>
      </c>
      <c r="BH11" s="149">
        <v>24</v>
      </c>
      <c r="BI11" s="149">
        <v>24</v>
      </c>
      <c r="BJ11" s="149">
        <v>18</v>
      </c>
      <c r="BK11" s="149">
        <v>27</v>
      </c>
      <c r="BL11" s="149">
        <v>19</v>
      </c>
      <c r="BM11" s="149">
        <v>17</v>
      </c>
      <c r="BN11" s="149">
        <v>9</v>
      </c>
      <c r="BO11" s="149">
        <v>24</v>
      </c>
      <c r="BP11" s="149">
        <v>26</v>
      </c>
      <c r="BQ11" s="149">
        <v>14</v>
      </c>
      <c r="BR11" s="149">
        <v>23</v>
      </c>
      <c r="BS11" s="149">
        <v>23</v>
      </c>
      <c r="BT11" s="149">
        <v>24</v>
      </c>
      <c r="BU11" s="149">
        <v>24</v>
      </c>
      <c r="BV11" s="149">
        <v>25</v>
      </c>
      <c r="BW11" s="149">
        <v>20</v>
      </c>
      <c r="BX11" s="149">
        <v>20</v>
      </c>
      <c r="BY11" s="149">
        <v>23</v>
      </c>
      <c r="BZ11" s="149">
        <v>20</v>
      </c>
      <c r="CA11" s="149">
        <v>24</v>
      </c>
      <c r="CB11" s="149">
        <v>26</v>
      </c>
      <c r="CC11" s="149">
        <v>16</v>
      </c>
      <c r="CD11" s="149">
        <v>26</v>
      </c>
      <c r="CE11" s="149">
        <v>20</v>
      </c>
      <c r="CF11" s="116">
        <f t="shared" si="1"/>
        <v>907</v>
      </c>
      <c r="CG11" s="116">
        <f t="shared" si="2"/>
        <v>935</v>
      </c>
      <c r="CH11" s="86">
        <f t="shared" si="6"/>
        <v>1842</v>
      </c>
      <c r="CP11" s="130">
        <v>6</v>
      </c>
      <c r="CQ11" s="130">
        <f t="shared" si="3"/>
        <v>1677</v>
      </c>
      <c r="CR11" s="133">
        <f t="shared" si="4"/>
        <v>1885</v>
      </c>
      <c r="CS11" s="125">
        <f t="shared" si="5"/>
        <v>3562</v>
      </c>
      <c r="CY11" s="83" t="s">
        <v>46</v>
      </c>
      <c r="CZ11" s="85">
        <v>8</v>
      </c>
      <c r="DA11" s="84" t="s">
        <v>70</v>
      </c>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row>
    <row r="12" spans="1:148" s="12" customFormat="1" ht="15.75" customHeight="1">
      <c r="A12" s="111">
        <v>10</v>
      </c>
      <c r="B12" s="14">
        <f t="shared" si="7"/>
        <v>6</v>
      </c>
      <c r="C12" s="87">
        <f t="shared" si="0"/>
        <v>40431</v>
      </c>
      <c r="D12" s="149">
        <v>11</v>
      </c>
      <c r="E12" s="149">
        <v>28</v>
      </c>
      <c r="F12" s="149">
        <v>26</v>
      </c>
      <c r="G12" s="149">
        <v>20</v>
      </c>
      <c r="H12" s="149">
        <v>24</v>
      </c>
      <c r="I12" s="149">
        <v>20</v>
      </c>
      <c r="J12" s="149">
        <v>24</v>
      </c>
      <c r="K12" s="149">
        <v>24</v>
      </c>
      <c r="L12" s="187">
        <v>23</v>
      </c>
      <c r="M12" s="187">
        <v>24</v>
      </c>
      <c r="N12" s="187">
        <v>23</v>
      </c>
      <c r="O12" s="187">
        <v>24</v>
      </c>
      <c r="P12" s="187">
        <v>24</v>
      </c>
      <c r="Q12" s="187">
        <v>25</v>
      </c>
      <c r="R12" s="187">
        <v>24</v>
      </c>
      <c r="S12" s="187">
        <v>24</v>
      </c>
      <c r="T12" s="187">
        <v>24</v>
      </c>
      <c r="U12" s="187">
        <v>24</v>
      </c>
      <c r="V12" s="187">
        <v>23</v>
      </c>
      <c r="W12" s="187">
        <v>25</v>
      </c>
      <c r="X12" s="187">
        <v>23</v>
      </c>
      <c r="Y12" s="187">
        <v>25</v>
      </c>
      <c r="Z12" s="187">
        <v>24</v>
      </c>
      <c r="AA12" s="187">
        <v>24</v>
      </c>
      <c r="AB12" s="187">
        <v>24</v>
      </c>
      <c r="AC12" s="187">
        <v>25</v>
      </c>
      <c r="AD12" s="187">
        <v>24</v>
      </c>
      <c r="AE12" s="187">
        <v>25</v>
      </c>
      <c r="AF12" s="187">
        <v>24</v>
      </c>
      <c r="AG12" s="187">
        <v>24</v>
      </c>
      <c r="AH12" s="187">
        <v>23</v>
      </c>
      <c r="AI12" s="187">
        <v>25</v>
      </c>
      <c r="AJ12" s="187">
        <v>24</v>
      </c>
      <c r="AK12" s="187">
        <v>24</v>
      </c>
      <c r="AL12" s="187">
        <v>24</v>
      </c>
      <c r="AM12" s="187">
        <v>24</v>
      </c>
      <c r="AN12" s="187">
        <v>24</v>
      </c>
      <c r="AO12" s="187">
        <v>25</v>
      </c>
      <c r="AP12" s="187">
        <v>24</v>
      </c>
      <c r="AQ12" s="187">
        <v>24</v>
      </c>
      <c r="AR12" s="187">
        <v>23</v>
      </c>
      <c r="AS12" s="187">
        <v>25</v>
      </c>
      <c r="AT12" s="187">
        <v>23</v>
      </c>
      <c r="AU12" s="187">
        <v>24</v>
      </c>
      <c r="AV12" s="187">
        <v>24</v>
      </c>
      <c r="AW12" s="187">
        <v>25</v>
      </c>
      <c r="AX12" s="187">
        <v>24</v>
      </c>
      <c r="AY12" s="187">
        <v>25</v>
      </c>
      <c r="AZ12" s="187">
        <v>24</v>
      </c>
      <c r="BA12" s="187">
        <v>25</v>
      </c>
      <c r="BB12" s="187">
        <v>24</v>
      </c>
      <c r="BC12" s="187">
        <v>24</v>
      </c>
      <c r="BD12" s="187">
        <v>24</v>
      </c>
      <c r="BE12" s="187">
        <v>25</v>
      </c>
      <c r="BF12" s="187">
        <v>23</v>
      </c>
      <c r="BG12" s="187">
        <v>25</v>
      </c>
      <c r="BH12" s="149">
        <v>24</v>
      </c>
      <c r="BI12" s="149">
        <v>24</v>
      </c>
      <c r="BJ12" s="149">
        <v>17</v>
      </c>
      <c r="BK12" s="149">
        <v>27</v>
      </c>
      <c r="BL12" s="149">
        <v>19</v>
      </c>
      <c r="BM12" s="149">
        <v>18</v>
      </c>
      <c r="BN12" s="149">
        <v>9</v>
      </c>
      <c r="BO12" s="149">
        <v>24</v>
      </c>
      <c r="BP12" s="149">
        <v>26</v>
      </c>
      <c r="BQ12" s="149">
        <v>14</v>
      </c>
      <c r="BR12" s="149">
        <v>22</v>
      </c>
      <c r="BS12" s="149">
        <v>22</v>
      </c>
      <c r="BT12" s="149">
        <v>24</v>
      </c>
      <c r="BU12" s="149">
        <v>24</v>
      </c>
      <c r="BV12" s="149">
        <v>25</v>
      </c>
      <c r="BW12" s="149">
        <v>20</v>
      </c>
      <c r="BX12" s="149">
        <v>19</v>
      </c>
      <c r="BY12" s="149">
        <v>23</v>
      </c>
      <c r="BZ12" s="149">
        <v>20</v>
      </c>
      <c r="CA12" s="149">
        <v>25</v>
      </c>
      <c r="CB12" s="149">
        <v>25</v>
      </c>
      <c r="CC12" s="149">
        <v>15</v>
      </c>
      <c r="CD12" s="149">
        <v>26</v>
      </c>
      <c r="CE12" s="149">
        <v>19</v>
      </c>
      <c r="CF12" s="116">
        <f t="shared" si="1"/>
        <v>909</v>
      </c>
      <c r="CG12" s="116">
        <f t="shared" si="2"/>
        <v>936</v>
      </c>
      <c r="CH12" s="86">
        <f t="shared" si="6"/>
        <v>1845</v>
      </c>
      <c r="CP12" s="130">
        <v>7</v>
      </c>
      <c r="CQ12" s="130">
        <f t="shared" si="3"/>
        <v>1493</v>
      </c>
      <c r="CR12" s="133">
        <f t="shared" si="4"/>
        <v>1550</v>
      </c>
      <c r="CS12" s="125">
        <f t="shared" si="5"/>
        <v>3043</v>
      </c>
      <c r="CY12" s="83" t="s">
        <v>47</v>
      </c>
      <c r="CZ12" s="83">
        <v>9</v>
      </c>
      <c r="DA12" s="84" t="s">
        <v>71</v>
      </c>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row>
    <row r="13" spans="1:148" s="12" customFormat="1" ht="15.75" customHeight="1">
      <c r="A13" s="111">
        <v>11</v>
      </c>
      <c r="B13" s="14">
        <f t="shared" si="7"/>
        <v>7</v>
      </c>
      <c r="C13" s="87">
        <f t="shared" si="0"/>
        <v>40432</v>
      </c>
      <c r="D13" s="149">
        <v>12</v>
      </c>
      <c r="E13" s="149">
        <v>28</v>
      </c>
      <c r="F13" s="149">
        <v>25</v>
      </c>
      <c r="G13" s="149">
        <v>21</v>
      </c>
      <c r="H13" s="149">
        <v>24</v>
      </c>
      <c r="I13" s="149">
        <v>20</v>
      </c>
      <c r="J13" s="149">
        <v>23</v>
      </c>
      <c r="K13" s="149">
        <v>25</v>
      </c>
      <c r="L13" s="187">
        <v>23</v>
      </c>
      <c r="M13" s="187">
        <v>25</v>
      </c>
      <c r="N13" s="187">
        <v>24</v>
      </c>
      <c r="O13" s="187">
        <v>25</v>
      </c>
      <c r="P13" s="187">
        <v>24</v>
      </c>
      <c r="Q13" s="187">
        <v>24</v>
      </c>
      <c r="R13" s="187">
        <v>23</v>
      </c>
      <c r="S13" s="187">
        <v>24</v>
      </c>
      <c r="T13" s="187">
        <v>23</v>
      </c>
      <c r="U13" s="187">
        <v>24</v>
      </c>
      <c r="V13" s="187">
        <v>23</v>
      </c>
      <c r="W13" s="187">
        <v>24</v>
      </c>
      <c r="X13" s="187">
        <v>23</v>
      </c>
      <c r="Y13" s="187">
        <v>24</v>
      </c>
      <c r="Z13" s="187">
        <v>23</v>
      </c>
      <c r="AA13" s="187">
        <v>25</v>
      </c>
      <c r="AB13" s="187">
        <v>23</v>
      </c>
      <c r="AC13" s="187">
        <v>25</v>
      </c>
      <c r="AD13" s="187">
        <v>23</v>
      </c>
      <c r="AE13" s="187">
        <v>24</v>
      </c>
      <c r="AF13" s="187">
        <v>24</v>
      </c>
      <c r="AG13" s="187">
        <v>25</v>
      </c>
      <c r="AH13" s="187">
        <v>24</v>
      </c>
      <c r="AI13" s="187">
        <v>24</v>
      </c>
      <c r="AJ13" s="187">
        <v>23</v>
      </c>
      <c r="AK13" s="187">
        <v>25</v>
      </c>
      <c r="AL13" s="187">
        <v>23</v>
      </c>
      <c r="AM13" s="187">
        <v>24</v>
      </c>
      <c r="AN13" s="187">
        <v>24</v>
      </c>
      <c r="AO13" s="187">
        <v>25</v>
      </c>
      <c r="AP13" s="187">
        <v>23</v>
      </c>
      <c r="AQ13" s="187">
        <v>25</v>
      </c>
      <c r="AR13" s="187">
        <v>23</v>
      </c>
      <c r="AS13" s="187">
        <v>24</v>
      </c>
      <c r="AT13" s="187">
        <v>24</v>
      </c>
      <c r="AU13" s="187">
        <v>24</v>
      </c>
      <c r="AV13" s="187">
        <v>23</v>
      </c>
      <c r="AW13" s="187">
        <v>25</v>
      </c>
      <c r="AX13" s="187">
        <v>24</v>
      </c>
      <c r="AY13" s="187">
        <v>24</v>
      </c>
      <c r="AZ13" s="187">
        <v>23</v>
      </c>
      <c r="BA13" s="187">
        <v>25</v>
      </c>
      <c r="BB13" s="187">
        <v>23</v>
      </c>
      <c r="BC13" s="187">
        <v>25</v>
      </c>
      <c r="BD13" s="187">
        <v>24</v>
      </c>
      <c r="BE13" s="187">
        <v>24</v>
      </c>
      <c r="BF13" s="187">
        <v>23</v>
      </c>
      <c r="BG13" s="187">
        <v>24</v>
      </c>
      <c r="BH13" s="149">
        <v>24</v>
      </c>
      <c r="BI13" s="149">
        <v>24</v>
      </c>
      <c r="BJ13" s="149">
        <v>17</v>
      </c>
      <c r="BK13" s="149">
        <v>28</v>
      </c>
      <c r="BL13" s="149">
        <v>20</v>
      </c>
      <c r="BM13" s="149">
        <v>18</v>
      </c>
      <c r="BN13" s="149">
        <v>8</v>
      </c>
      <c r="BO13" s="149">
        <v>24</v>
      </c>
      <c r="BP13" s="149">
        <v>26</v>
      </c>
      <c r="BQ13" s="149">
        <v>14</v>
      </c>
      <c r="BR13" s="149">
        <v>22</v>
      </c>
      <c r="BS13" s="149">
        <v>22</v>
      </c>
      <c r="BT13" s="149">
        <v>23</v>
      </c>
      <c r="BU13" s="149">
        <v>25</v>
      </c>
      <c r="BV13" s="149">
        <v>25</v>
      </c>
      <c r="BW13" s="149">
        <v>20</v>
      </c>
      <c r="BX13" s="149">
        <v>19</v>
      </c>
      <c r="BY13" s="149">
        <v>23</v>
      </c>
      <c r="BZ13" s="149">
        <v>20</v>
      </c>
      <c r="CA13" s="149">
        <v>24</v>
      </c>
      <c r="CB13" s="149">
        <v>26</v>
      </c>
      <c r="CC13" s="149">
        <v>15</v>
      </c>
      <c r="CD13" s="149">
        <v>25</v>
      </c>
      <c r="CE13" s="149">
        <v>19</v>
      </c>
      <c r="CF13" s="116">
        <f t="shared" si="1"/>
        <v>899</v>
      </c>
      <c r="CG13" s="116">
        <f t="shared" si="2"/>
        <v>937</v>
      </c>
      <c r="CH13" s="86">
        <f t="shared" si="6"/>
        <v>1836</v>
      </c>
      <c r="CP13" s="130">
        <v>8</v>
      </c>
      <c r="CQ13" s="130">
        <f t="shared" si="3"/>
        <v>1718</v>
      </c>
      <c r="CR13" s="133">
        <f t="shared" si="4"/>
        <v>1533</v>
      </c>
      <c r="CS13" s="125">
        <f>SUM(CQ13:CR13)</f>
        <v>3251</v>
      </c>
      <c r="CY13" s="83" t="s">
        <v>48</v>
      </c>
      <c r="CZ13" s="85">
        <v>10</v>
      </c>
      <c r="DA13" s="84" t="s">
        <v>72</v>
      </c>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row>
    <row r="14" spans="1:148" s="12" customFormat="1" ht="15.75" customHeight="1">
      <c r="A14" s="111">
        <v>13</v>
      </c>
      <c r="B14" s="14">
        <f t="shared" si="7"/>
        <v>8</v>
      </c>
      <c r="C14" s="87">
        <f t="shared" si="0"/>
        <v>40434</v>
      </c>
      <c r="D14" s="149">
        <v>11</v>
      </c>
      <c r="E14" s="149">
        <v>27</v>
      </c>
      <c r="F14" s="149">
        <v>25</v>
      </c>
      <c r="G14" s="149">
        <v>21</v>
      </c>
      <c r="H14" s="149">
        <v>24</v>
      </c>
      <c r="I14" s="149">
        <v>19</v>
      </c>
      <c r="J14" s="149">
        <v>23</v>
      </c>
      <c r="K14" s="149">
        <v>25</v>
      </c>
      <c r="L14" s="187">
        <v>23</v>
      </c>
      <c r="M14" s="187">
        <v>25</v>
      </c>
      <c r="N14" s="187">
        <v>24</v>
      </c>
      <c r="O14" s="187">
        <v>25</v>
      </c>
      <c r="P14" s="187">
        <v>24</v>
      </c>
      <c r="Q14" s="187">
        <v>24</v>
      </c>
      <c r="R14" s="187">
        <v>24</v>
      </c>
      <c r="S14" s="187">
        <v>25</v>
      </c>
      <c r="T14" s="187">
        <v>23</v>
      </c>
      <c r="U14" s="187">
        <v>25</v>
      </c>
      <c r="V14" s="187">
        <v>23</v>
      </c>
      <c r="W14" s="187">
        <v>25</v>
      </c>
      <c r="X14" s="187">
        <v>23</v>
      </c>
      <c r="Y14" s="187">
        <v>25</v>
      </c>
      <c r="Z14" s="187">
        <v>23</v>
      </c>
      <c r="AA14" s="187">
        <v>25</v>
      </c>
      <c r="AB14" s="187">
        <v>23</v>
      </c>
      <c r="AC14" s="187">
        <v>24</v>
      </c>
      <c r="AD14" s="187">
        <v>23</v>
      </c>
      <c r="AE14" s="187">
        <v>24</v>
      </c>
      <c r="AF14" s="187">
        <v>23</v>
      </c>
      <c r="AG14" s="187">
        <v>25</v>
      </c>
      <c r="AH14" s="187">
        <v>24</v>
      </c>
      <c r="AI14" s="187">
        <v>24</v>
      </c>
      <c r="AJ14" s="187">
        <v>23</v>
      </c>
      <c r="AK14" s="187">
        <v>24</v>
      </c>
      <c r="AL14" s="187">
        <v>24</v>
      </c>
      <c r="AM14" s="187">
        <v>24</v>
      </c>
      <c r="AN14" s="187">
        <v>24</v>
      </c>
      <c r="AO14" s="187">
        <v>25</v>
      </c>
      <c r="AP14" s="187">
        <v>23</v>
      </c>
      <c r="AQ14" s="187">
        <v>24</v>
      </c>
      <c r="AR14" s="187">
        <v>24</v>
      </c>
      <c r="AS14" s="187">
        <v>24</v>
      </c>
      <c r="AT14" s="187">
        <v>24</v>
      </c>
      <c r="AU14" s="187">
        <v>25</v>
      </c>
      <c r="AV14" s="187">
        <v>24</v>
      </c>
      <c r="AW14" s="187">
        <v>25</v>
      </c>
      <c r="AX14" s="187">
        <v>23</v>
      </c>
      <c r="AY14" s="187">
        <v>24</v>
      </c>
      <c r="AZ14" s="187">
        <v>24</v>
      </c>
      <c r="BA14" s="187">
        <v>25</v>
      </c>
      <c r="BB14" s="187">
        <v>23</v>
      </c>
      <c r="BC14" s="187">
        <v>25</v>
      </c>
      <c r="BD14" s="187">
        <v>23</v>
      </c>
      <c r="BE14" s="187">
        <v>24</v>
      </c>
      <c r="BF14" s="187">
        <v>24</v>
      </c>
      <c r="BG14" s="187">
        <v>25</v>
      </c>
      <c r="BH14" s="149">
        <v>24</v>
      </c>
      <c r="BI14" s="149">
        <v>24</v>
      </c>
      <c r="BJ14" s="149">
        <v>18</v>
      </c>
      <c r="BK14" s="149">
        <v>28</v>
      </c>
      <c r="BL14" s="149">
        <v>19</v>
      </c>
      <c r="BM14" s="149">
        <v>17</v>
      </c>
      <c r="BN14" s="149">
        <v>9</v>
      </c>
      <c r="BO14" s="149">
        <v>24</v>
      </c>
      <c r="BP14" s="149">
        <v>25</v>
      </c>
      <c r="BQ14" s="149">
        <v>14</v>
      </c>
      <c r="BR14" s="149">
        <v>22</v>
      </c>
      <c r="BS14" s="149">
        <v>22</v>
      </c>
      <c r="BT14" s="149">
        <v>24</v>
      </c>
      <c r="BU14" s="149">
        <v>24</v>
      </c>
      <c r="BV14" s="149">
        <v>25</v>
      </c>
      <c r="BW14" s="149">
        <v>20</v>
      </c>
      <c r="BX14" s="149">
        <v>19</v>
      </c>
      <c r="BY14" s="149">
        <v>23</v>
      </c>
      <c r="BZ14" s="149">
        <v>20</v>
      </c>
      <c r="CA14" s="149">
        <v>25</v>
      </c>
      <c r="CB14" s="149">
        <v>25</v>
      </c>
      <c r="CC14" s="149">
        <v>16</v>
      </c>
      <c r="CD14" s="149">
        <v>25</v>
      </c>
      <c r="CE14" s="149">
        <v>19</v>
      </c>
      <c r="CF14" s="116">
        <f t="shared" si="1"/>
        <v>901</v>
      </c>
      <c r="CG14" s="116">
        <f t="shared" si="2"/>
        <v>938</v>
      </c>
      <c r="CH14" s="86">
        <f t="shared" si="6"/>
        <v>1839</v>
      </c>
      <c r="CP14" s="130">
        <v>9</v>
      </c>
      <c r="CQ14" s="130">
        <f t="shared" si="3"/>
        <v>0</v>
      </c>
      <c r="CR14" s="133">
        <f t="shared" si="4"/>
        <v>0</v>
      </c>
      <c r="CS14" s="125">
        <f>SUM(CQ14:CR14)</f>
        <v>0</v>
      </c>
      <c r="CY14" s="83" t="s">
        <v>49</v>
      </c>
      <c r="CZ14" s="83">
        <v>11</v>
      </c>
      <c r="DA14" s="84" t="s">
        <v>73</v>
      </c>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row>
    <row r="15" spans="1:148" s="12" customFormat="1" ht="15.75" customHeight="1">
      <c r="A15" s="111">
        <v>16</v>
      </c>
      <c r="B15" s="14">
        <f t="shared" si="7"/>
        <v>9</v>
      </c>
      <c r="C15" s="87">
        <f t="shared" si="0"/>
        <v>40437</v>
      </c>
      <c r="D15" s="149">
        <v>12</v>
      </c>
      <c r="E15" s="149">
        <v>27</v>
      </c>
      <c r="F15" s="149">
        <v>25</v>
      </c>
      <c r="G15" s="149">
        <v>21</v>
      </c>
      <c r="H15" s="149">
        <v>24</v>
      </c>
      <c r="I15" s="149">
        <v>20</v>
      </c>
      <c r="J15" s="149">
        <v>23</v>
      </c>
      <c r="K15" s="149">
        <v>25</v>
      </c>
      <c r="L15" s="187">
        <v>24</v>
      </c>
      <c r="M15" s="187">
        <v>25</v>
      </c>
      <c r="N15" s="187">
        <v>23</v>
      </c>
      <c r="O15" s="187">
        <v>24</v>
      </c>
      <c r="P15" s="187">
        <v>24</v>
      </c>
      <c r="Q15" s="187">
        <v>25</v>
      </c>
      <c r="R15" s="187">
        <v>23</v>
      </c>
      <c r="S15" s="187">
        <v>25</v>
      </c>
      <c r="T15" s="187">
        <v>23</v>
      </c>
      <c r="U15" s="187">
        <v>25</v>
      </c>
      <c r="V15" s="187">
        <v>23</v>
      </c>
      <c r="W15" s="187">
        <v>24</v>
      </c>
      <c r="X15" s="187">
        <v>24</v>
      </c>
      <c r="Y15" s="187">
        <v>25</v>
      </c>
      <c r="Z15" s="187">
        <v>23</v>
      </c>
      <c r="AA15" s="187">
        <v>24</v>
      </c>
      <c r="AB15" s="187">
        <v>24</v>
      </c>
      <c r="AC15" s="187">
        <v>24</v>
      </c>
      <c r="AD15" s="187">
        <v>24</v>
      </c>
      <c r="AE15" s="187">
        <v>25</v>
      </c>
      <c r="AF15" s="187">
        <v>23</v>
      </c>
      <c r="AG15" s="187">
        <v>25</v>
      </c>
      <c r="AH15" s="187">
        <v>23</v>
      </c>
      <c r="AI15" s="187">
        <v>25</v>
      </c>
      <c r="AJ15" s="187">
        <v>24</v>
      </c>
      <c r="AK15" s="187">
        <v>25</v>
      </c>
      <c r="AL15" s="187">
        <v>23</v>
      </c>
      <c r="AM15" s="187">
        <v>25</v>
      </c>
      <c r="AN15" s="187">
        <v>23</v>
      </c>
      <c r="AO15" s="187">
        <v>24</v>
      </c>
      <c r="AP15" s="187">
        <v>23</v>
      </c>
      <c r="AQ15" s="187">
        <v>24</v>
      </c>
      <c r="AR15" s="187">
        <v>23</v>
      </c>
      <c r="AS15" s="187">
        <v>25</v>
      </c>
      <c r="AT15" s="187">
        <v>23</v>
      </c>
      <c r="AU15" s="187">
        <v>24</v>
      </c>
      <c r="AV15" s="187">
        <v>23</v>
      </c>
      <c r="AW15" s="187">
        <v>25</v>
      </c>
      <c r="AX15" s="187">
        <v>24</v>
      </c>
      <c r="AY15" s="187">
        <v>25</v>
      </c>
      <c r="AZ15" s="187">
        <v>24</v>
      </c>
      <c r="BA15" s="187">
        <v>25</v>
      </c>
      <c r="BB15" s="187">
        <v>24</v>
      </c>
      <c r="BC15" s="187">
        <v>25</v>
      </c>
      <c r="BD15" s="187">
        <v>24</v>
      </c>
      <c r="BE15" s="187">
        <v>25</v>
      </c>
      <c r="BF15" s="187">
        <v>23</v>
      </c>
      <c r="BG15" s="187">
        <v>25</v>
      </c>
      <c r="BH15" s="149">
        <v>23</v>
      </c>
      <c r="BI15" s="149">
        <v>25</v>
      </c>
      <c r="BJ15" s="149">
        <v>18</v>
      </c>
      <c r="BK15" s="149">
        <v>27</v>
      </c>
      <c r="BL15" s="149">
        <v>20</v>
      </c>
      <c r="BM15" s="149">
        <v>18</v>
      </c>
      <c r="BN15" s="149">
        <v>8</v>
      </c>
      <c r="BO15" s="149">
        <v>24</v>
      </c>
      <c r="BP15" s="149">
        <v>26</v>
      </c>
      <c r="BQ15" s="149">
        <v>15</v>
      </c>
      <c r="BR15" s="149">
        <v>22</v>
      </c>
      <c r="BS15" s="149">
        <v>23</v>
      </c>
      <c r="BT15" s="149">
        <v>23</v>
      </c>
      <c r="BU15" s="149">
        <v>24</v>
      </c>
      <c r="BV15" s="149">
        <v>24</v>
      </c>
      <c r="BW15" s="149">
        <v>21</v>
      </c>
      <c r="BX15" s="149">
        <v>19</v>
      </c>
      <c r="BY15" s="149">
        <v>23</v>
      </c>
      <c r="BZ15" s="149">
        <v>20</v>
      </c>
      <c r="CA15" s="149">
        <v>25</v>
      </c>
      <c r="CB15" s="149">
        <v>26</v>
      </c>
      <c r="CC15" s="149">
        <v>15</v>
      </c>
      <c r="CD15" s="149">
        <v>25</v>
      </c>
      <c r="CE15" s="149">
        <v>20</v>
      </c>
      <c r="CF15" s="116">
        <f t="shared" si="1"/>
        <v>900</v>
      </c>
      <c r="CG15" s="116">
        <f t="shared" si="2"/>
        <v>946</v>
      </c>
      <c r="CH15" s="86">
        <f t="shared" si="6"/>
        <v>1846</v>
      </c>
      <c r="CP15" s="130">
        <v>10</v>
      </c>
      <c r="CQ15" s="130">
        <f t="shared" si="3"/>
        <v>0</v>
      </c>
      <c r="CR15" s="133">
        <f t="shared" si="4"/>
        <v>0</v>
      </c>
      <c r="CS15" s="125">
        <f>SUM(CQ15:CR15)</f>
        <v>0</v>
      </c>
      <c r="CY15" s="83" t="s">
        <v>50</v>
      </c>
      <c r="CZ15" s="85">
        <v>12</v>
      </c>
      <c r="DA15" s="84" t="s">
        <v>74</v>
      </c>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row>
    <row r="16" spans="1:148" s="12" customFormat="1" ht="15.75" customHeight="1">
      <c r="A16" s="111">
        <v>17</v>
      </c>
      <c r="B16" s="14">
        <f t="shared" si="7"/>
        <v>10</v>
      </c>
      <c r="C16" s="87">
        <f t="shared" si="0"/>
        <v>40438</v>
      </c>
      <c r="D16" s="149">
        <v>11</v>
      </c>
      <c r="E16" s="149">
        <v>27</v>
      </c>
      <c r="F16" s="149">
        <v>25</v>
      </c>
      <c r="G16" s="149">
        <v>21</v>
      </c>
      <c r="H16" s="149">
        <v>23</v>
      </c>
      <c r="I16" s="149">
        <v>20</v>
      </c>
      <c r="J16" s="149">
        <v>24</v>
      </c>
      <c r="K16" s="149">
        <v>24</v>
      </c>
      <c r="L16" s="187">
        <v>24</v>
      </c>
      <c r="M16" s="187">
        <v>25</v>
      </c>
      <c r="N16" s="187">
        <v>23</v>
      </c>
      <c r="O16" s="187">
        <v>24</v>
      </c>
      <c r="P16" s="187">
        <v>24</v>
      </c>
      <c r="Q16" s="187">
        <v>25</v>
      </c>
      <c r="R16" s="187">
        <v>23</v>
      </c>
      <c r="S16" s="187">
        <v>24</v>
      </c>
      <c r="T16" s="187">
        <v>24</v>
      </c>
      <c r="U16" s="187">
        <v>25</v>
      </c>
      <c r="V16" s="187">
        <v>23</v>
      </c>
      <c r="W16" s="187">
        <v>25</v>
      </c>
      <c r="X16" s="187">
        <v>24</v>
      </c>
      <c r="Y16" s="187">
        <v>25</v>
      </c>
      <c r="Z16" s="187">
        <v>24</v>
      </c>
      <c r="AA16" s="187">
        <v>24</v>
      </c>
      <c r="AB16" s="187">
        <v>24</v>
      </c>
      <c r="AC16" s="187">
        <v>25</v>
      </c>
      <c r="AD16" s="187">
        <v>23</v>
      </c>
      <c r="AE16" s="187">
        <v>25</v>
      </c>
      <c r="AF16" s="187">
        <v>23</v>
      </c>
      <c r="AG16" s="187">
        <v>24</v>
      </c>
      <c r="AH16" s="187">
        <v>23</v>
      </c>
      <c r="AI16" s="187">
        <v>24</v>
      </c>
      <c r="AJ16" s="187">
        <v>24</v>
      </c>
      <c r="AK16" s="187">
        <v>25</v>
      </c>
      <c r="AL16" s="187">
        <v>23</v>
      </c>
      <c r="AM16" s="187">
        <v>25</v>
      </c>
      <c r="AN16" s="187">
        <v>23</v>
      </c>
      <c r="AO16" s="187">
        <v>25</v>
      </c>
      <c r="AP16" s="187">
        <v>23</v>
      </c>
      <c r="AQ16" s="187">
        <v>25</v>
      </c>
      <c r="AR16" s="187">
        <v>23</v>
      </c>
      <c r="AS16" s="187">
        <v>24</v>
      </c>
      <c r="AT16" s="187">
        <v>24</v>
      </c>
      <c r="AU16" s="187">
        <v>24</v>
      </c>
      <c r="AV16" s="187">
        <v>24</v>
      </c>
      <c r="AW16" s="187">
        <v>24</v>
      </c>
      <c r="AX16" s="187">
        <v>24</v>
      </c>
      <c r="AY16" s="187">
        <v>24</v>
      </c>
      <c r="AZ16" s="187">
        <v>24</v>
      </c>
      <c r="BA16" s="187">
        <v>24</v>
      </c>
      <c r="BB16" s="187">
        <v>24</v>
      </c>
      <c r="BC16" s="187">
        <v>24</v>
      </c>
      <c r="BD16" s="187">
        <v>23</v>
      </c>
      <c r="BE16" s="187">
        <v>24</v>
      </c>
      <c r="BF16" s="187">
        <v>23</v>
      </c>
      <c r="BG16" s="187">
        <v>24</v>
      </c>
      <c r="BH16" s="149">
        <v>24</v>
      </c>
      <c r="BI16" s="149">
        <v>25</v>
      </c>
      <c r="BJ16" s="149">
        <v>17</v>
      </c>
      <c r="BK16" s="149">
        <v>28</v>
      </c>
      <c r="BL16" s="149">
        <v>20</v>
      </c>
      <c r="BM16" s="149">
        <v>18</v>
      </c>
      <c r="BN16" s="149">
        <v>8</v>
      </c>
      <c r="BO16" s="149">
        <v>24</v>
      </c>
      <c r="BP16" s="149">
        <v>26</v>
      </c>
      <c r="BQ16" s="149">
        <v>14</v>
      </c>
      <c r="BR16" s="149">
        <v>23</v>
      </c>
      <c r="BS16" s="149">
        <v>23</v>
      </c>
      <c r="BT16" s="149">
        <v>23</v>
      </c>
      <c r="BU16" s="149">
        <v>25</v>
      </c>
      <c r="BV16" s="149">
        <v>25</v>
      </c>
      <c r="BW16" s="149">
        <v>20</v>
      </c>
      <c r="BX16" s="149">
        <v>19</v>
      </c>
      <c r="BY16" s="149">
        <v>22</v>
      </c>
      <c r="BZ16" s="149">
        <v>19</v>
      </c>
      <c r="CA16" s="149">
        <v>24</v>
      </c>
      <c r="CB16" s="149">
        <v>26</v>
      </c>
      <c r="CC16" s="149">
        <v>15</v>
      </c>
      <c r="CD16" s="149">
        <v>25</v>
      </c>
      <c r="CE16" s="149">
        <v>20</v>
      </c>
      <c r="CF16" s="116">
        <f t="shared" si="1"/>
        <v>902</v>
      </c>
      <c r="CG16" s="116">
        <f t="shared" si="2"/>
        <v>937</v>
      </c>
      <c r="CH16" s="86">
        <f t="shared" si="6"/>
        <v>1839</v>
      </c>
      <c r="CP16" s="125" t="s">
        <v>9</v>
      </c>
      <c r="CQ16" s="125">
        <f>SUM(CQ6:CQ15)</f>
        <v>13533</v>
      </c>
      <c r="CR16" s="125">
        <f>SUM(CR6:CR15)</f>
        <v>14069</v>
      </c>
      <c r="CS16" s="125">
        <f>SUM(CS6:CS15)</f>
        <v>27602</v>
      </c>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row>
    <row r="17" spans="1:148" s="12" customFormat="1" ht="15.75" customHeight="1">
      <c r="A17" s="111">
        <v>18</v>
      </c>
      <c r="B17" s="14">
        <f t="shared" si="7"/>
        <v>11</v>
      </c>
      <c r="C17" s="87">
        <f t="shared" si="0"/>
        <v>40439</v>
      </c>
      <c r="D17" s="149">
        <v>12</v>
      </c>
      <c r="E17" s="149">
        <v>28</v>
      </c>
      <c r="F17" s="149">
        <v>25</v>
      </c>
      <c r="G17" s="149">
        <v>20</v>
      </c>
      <c r="H17" s="149">
        <v>23</v>
      </c>
      <c r="I17" s="149">
        <v>20</v>
      </c>
      <c r="J17" s="149">
        <v>23</v>
      </c>
      <c r="K17" s="149">
        <v>25</v>
      </c>
      <c r="L17" s="187">
        <v>24</v>
      </c>
      <c r="M17" s="187">
        <v>24</v>
      </c>
      <c r="N17" s="187">
        <v>24</v>
      </c>
      <c r="O17" s="187">
        <v>24</v>
      </c>
      <c r="P17" s="187">
        <v>23</v>
      </c>
      <c r="Q17" s="187">
        <v>25</v>
      </c>
      <c r="R17" s="187">
        <v>24</v>
      </c>
      <c r="S17" s="187">
        <v>25</v>
      </c>
      <c r="T17" s="187">
        <v>24</v>
      </c>
      <c r="U17" s="187">
        <v>25</v>
      </c>
      <c r="V17" s="187">
        <v>24</v>
      </c>
      <c r="W17" s="187">
        <v>24</v>
      </c>
      <c r="X17" s="187">
        <v>24</v>
      </c>
      <c r="Y17" s="187">
        <v>24</v>
      </c>
      <c r="Z17" s="187">
        <v>23</v>
      </c>
      <c r="AA17" s="187">
        <v>24</v>
      </c>
      <c r="AB17" s="187">
        <v>23</v>
      </c>
      <c r="AC17" s="187">
        <v>25</v>
      </c>
      <c r="AD17" s="187">
        <v>24</v>
      </c>
      <c r="AE17" s="187">
        <v>25</v>
      </c>
      <c r="AF17" s="187">
        <v>23</v>
      </c>
      <c r="AG17" s="187">
        <v>25</v>
      </c>
      <c r="AH17" s="187">
        <v>23</v>
      </c>
      <c r="AI17" s="187">
        <v>24</v>
      </c>
      <c r="AJ17" s="187">
        <v>23</v>
      </c>
      <c r="AK17" s="187">
        <v>25</v>
      </c>
      <c r="AL17" s="187">
        <v>24</v>
      </c>
      <c r="AM17" s="187">
        <v>24</v>
      </c>
      <c r="AN17" s="187">
        <v>23</v>
      </c>
      <c r="AO17" s="187">
        <v>24</v>
      </c>
      <c r="AP17" s="187">
        <v>23</v>
      </c>
      <c r="AQ17" s="187">
        <v>24</v>
      </c>
      <c r="AR17" s="187">
        <v>24</v>
      </c>
      <c r="AS17" s="187">
        <v>24</v>
      </c>
      <c r="AT17" s="187">
        <v>23</v>
      </c>
      <c r="AU17" s="187">
        <v>24</v>
      </c>
      <c r="AV17" s="187">
        <v>24</v>
      </c>
      <c r="AW17" s="187">
        <v>24</v>
      </c>
      <c r="AX17" s="187">
        <v>23</v>
      </c>
      <c r="AY17" s="187">
        <v>24</v>
      </c>
      <c r="AZ17" s="187">
        <v>23</v>
      </c>
      <c r="BA17" s="187">
        <v>24</v>
      </c>
      <c r="BB17" s="187">
        <v>24</v>
      </c>
      <c r="BC17" s="187">
        <v>25</v>
      </c>
      <c r="BD17" s="187">
        <v>24</v>
      </c>
      <c r="BE17" s="187">
        <v>24</v>
      </c>
      <c r="BF17" s="187">
        <v>23</v>
      </c>
      <c r="BG17" s="187">
        <v>24</v>
      </c>
      <c r="BH17" s="149">
        <v>24</v>
      </c>
      <c r="BI17" s="149">
        <v>25</v>
      </c>
      <c r="BJ17" s="149">
        <v>18</v>
      </c>
      <c r="BK17" s="149">
        <v>28</v>
      </c>
      <c r="BL17" s="149">
        <v>19</v>
      </c>
      <c r="BM17" s="149">
        <v>17</v>
      </c>
      <c r="BN17" s="149">
        <v>9</v>
      </c>
      <c r="BO17" s="149">
        <v>25</v>
      </c>
      <c r="BP17" s="149">
        <v>26</v>
      </c>
      <c r="BQ17" s="149">
        <v>14</v>
      </c>
      <c r="BR17" s="149">
        <v>22</v>
      </c>
      <c r="BS17" s="149">
        <v>23</v>
      </c>
      <c r="BT17" s="149">
        <v>23</v>
      </c>
      <c r="BU17" s="149">
        <v>25</v>
      </c>
      <c r="BV17" s="149">
        <v>24</v>
      </c>
      <c r="BW17" s="149">
        <v>20</v>
      </c>
      <c r="BX17" s="149">
        <v>19</v>
      </c>
      <c r="BY17" s="149">
        <v>22</v>
      </c>
      <c r="BZ17" s="149">
        <v>20</v>
      </c>
      <c r="CA17" s="149">
        <v>24</v>
      </c>
      <c r="CB17" s="149">
        <v>25</v>
      </c>
      <c r="CC17" s="149">
        <v>16</v>
      </c>
      <c r="CD17" s="149">
        <v>26</v>
      </c>
      <c r="CE17" s="149">
        <v>19</v>
      </c>
      <c r="CF17" s="116">
        <f t="shared" si="1"/>
        <v>902</v>
      </c>
      <c r="CG17" s="116">
        <f t="shared" si="2"/>
        <v>935</v>
      </c>
      <c r="CH17" s="86">
        <f t="shared" si="6"/>
        <v>1837</v>
      </c>
      <c r="CY17" s="258" t="s">
        <v>114</v>
      </c>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89"/>
      <c r="DV17" s="89"/>
      <c r="DW17" s="89"/>
      <c r="DX17" s="127"/>
      <c r="DY17" s="127"/>
      <c r="DZ17" s="127"/>
      <c r="EA17" s="127"/>
      <c r="EB17" s="127"/>
      <c r="EC17" s="127"/>
      <c r="ED17" s="127"/>
      <c r="EE17" s="127"/>
      <c r="EF17" s="127"/>
      <c r="EG17" s="127"/>
      <c r="EH17" s="127"/>
      <c r="EI17" s="127"/>
      <c r="EJ17" s="127"/>
      <c r="EK17" s="127"/>
      <c r="EL17" s="127"/>
      <c r="EM17" s="127"/>
      <c r="EN17" s="127"/>
      <c r="EO17" s="127"/>
      <c r="EP17" s="127"/>
      <c r="EQ17" s="127"/>
      <c r="ER17" s="127"/>
    </row>
    <row r="18" spans="1:148" s="12" customFormat="1" ht="15.75" customHeight="1">
      <c r="A18" s="111">
        <v>19</v>
      </c>
      <c r="B18" s="14">
        <f t="shared" si="7"/>
        <v>12</v>
      </c>
      <c r="C18" s="87">
        <f t="shared" si="0"/>
        <v>40440</v>
      </c>
      <c r="D18" s="149">
        <v>12</v>
      </c>
      <c r="E18" s="149">
        <v>27</v>
      </c>
      <c r="F18" s="149">
        <v>26</v>
      </c>
      <c r="G18" s="149">
        <v>21</v>
      </c>
      <c r="H18" s="149">
        <v>23</v>
      </c>
      <c r="I18" s="149">
        <v>19</v>
      </c>
      <c r="J18" s="149">
        <v>24</v>
      </c>
      <c r="K18" s="149">
        <v>24</v>
      </c>
      <c r="L18" s="187">
        <v>24</v>
      </c>
      <c r="M18" s="187">
        <v>24</v>
      </c>
      <c r="N18" s="187">
        <v>24</v>
      </c>
      <c r="O18" s="187">
        <v>24</v>
      </c>
      <c r="P18" s="187">
        <v>23</v>
      </c>
      <c r="Q18" s="187">
        <v>24</v>
      </c>
      <c r="R18" s="187">
        <v>23</v>
      </c>
      <c r="S18" s="187">
        <v>25</v>
      </c>
      <c r="T18" s="187">
        <v>24</v>
      </c>
      <c r="U18" s="187">
        <v>25</v>
      </c>
      <c r="V18" s="187">
        <v>23</v>
      </c>
      <c r="W18" s="187">
        <v>25</v>
      </c>
      <c r="X18" s="187">
        <v>24</v>
      </c>
      <c r="Y18" s="187">
        <v>25</v>
      </c>
      <c r="Z18" s="187">
        <v>24</v>
      </c>
      <c r="AA18" s="187">
        <v>24</v>
      </c>
      <c r="AB18" s="187">
        <v>24</v>
      </c>
      <c r="AC18" s="187">
        <v>24</v>
      </c>
      <c r="AD18" s="187">
        <v>23</v>
      </c>
      <c r="AE18" s="187">
        <v>25</v>
      </c>
      <c r="AF18" s="187">
        <v>23</v>
      </c>
      <c r="AG18" s="187">
        <v>24</v>
      </c>
      <c r="AH18" s="187">
        <v>24</v>
      </c>
      <c r="AI18" s="187">
        <v>25</v>
      </c>
      <c r="AJ18" s="187">
        <v>23</v>
      </c>
      <c r="AK18" s="187">
        <v>25</v>
      </c>
      <c r="AL18" s="187">
        <v>23</v>
      </c>
      <c r="AM18" s="187">
        <v>25</v>
      </c>
      <c r="AN18" s="187">
        <v>23</v>
      </c>
      <c r="AO18" s="187">
        <v>25</v>
      </c>
      <c r="AP18" s="187">
        <v>23</v>
      </c>
      <c r="AQ18" s="187">
        <v>24</v>
      </c>
      <c r="AR18" s="187">
        <v>23</v>
      </c>
      <c r="AS18" s="187">
        <v>25</v>
      </c>
      <c r="AT18" s="187">
        <v>24</v>
      </c>
      <c r="AU18" s="187">
        <v>24</v>
      </c>
      <c r="AV18" s="187">
        <v>23</v>
      </c>
      <c r="AW18" s="187">
        <v>24</v>
      </c>
      <c r="AX18" s="187">
        <v>23</v>
      </c>
      <c r="AY18" s="187">
        <v>24</v>
      </c>
      <c r="AZ18" s="187">
        <v>23</v>
      </c>
      <c r="BA18" s="187">
        <v>25</v>
      </c>
      <c r="BB18" s="187">
        <v>24</v>
      </c>
      <c r="BC18" s="187">
        <v>25</v>
      </c>
      <c r="BD18" s="187">
        <v>23</v>
      </c>
      <c r="BE18" s="187">
        <v>24</v>
      </c>
      <c r="BF18" s="187">
        <v>24</v>
      </c>
      <c r="BG18" s="187">
        <v>24</v>
      </c>
      <c r="BH18" s="149">
        <v>23</v>
      </c>
      <c r="BI18" s="149">
        <v>25</v>
      </c>
      <c r="BJ18" s="149">
        <v>18</v>
      </c>
      <c r="BK18" s="149">
        <v>28</v>
      </c>
      <c r="BL18" s="149">
        <v>20</v>
      </c>
      <c r="BM18" s="149">
        <v>18</v>
      </c>
      <c r="BN18" s="149">
        <v>9</v>
      </c>
      <c r="BO18" s="149">
        <v>25</v>
      </c>
      <c r="BP18" s="149">
        <v>25</v>
      </c>
      <c r="BQ18" s="149">
        <v>15</v>
      </c>
      <c r="BR18" s="149">
        <v>22</v>
      </c>
      <c r="BS18" s="149">
        <v>23</v>
      </c>
      <c r="BT18" s="149">
        <v>24</v>
      </c>
      <c r="BU18" s="149">
        <v>25</v>
      </c>
      <c r="BV18" s="149">
        <v>24</v>
      </c>
      <c r="BW18" s="149">
        <v>21</v>
      </c>
      <c r="BX18" s="149">
        <v>20</v>
      </c>
      <c r="BY18" s="149">
        <v>22</v>
      </c>
      <c r="BZ18" s="149">
        <v>20</v>
      </c>
      <c r="CA18" s="149">
        <v>25</v>
      </c>
      <c r="CB18" s="149">
        <v>25</v>
      </c>
      <c r="CC18" s="149">
        <v>16</v>
      </c>
      <c r="CD18" s="149">
        <v>25</v>
      </c>
      <c r="CE18" s="149">
        <v>19</v>
      </c>
      <c r="CF18" s="116">
        <f t="shared" si="1"/>
        <v>902</v>
      </c>
      <c r="CG18" s="116">
        <f t="shared" si="2"/>
        <v>941</v>
      </c>
      <c r="CH18" s="86">
        <f t="shared" si="6"/>
        <v>1843</v>
      </c>
      <c r="CY18" s="270" t="s">
        <v>105</v>
      </c>
      <c r="CZ18" s="271"/>
      <c r="DA18" s="271"/>
      <c r="DB18" s="272" t="s">
        <v>111</v>
      </c>
      <c r="DC18" s="272"/>
      <c r="DD18" s="272"/>
      <c r="DE18" s="272" t="s">
        <v>102</v>
      </c>
      <c r="DF18" s="272"/>
      <c r="DG18" s="272"/>
      <c r="DH18" s="272" t="s">
        <v>9</v>
      </c>
      <c r="DI18" s="272"/>
      <c r="DJ18" s="272"/>
      <c r="DK18" s="88"/>
      <c r="DL18" s="88"/>
      <c r="DM18" s="88"/>
      <c r="DN18" s="88"/>
      <c r="DO18" s="88"/>
      <c r="DP18" s="88"/>
      <c r="DQ18" s="88"/>
      <c r="DR18" s="88"/>
      <c r="DS18" s="88"/>
      <c r="DT18" s="88"/>
      <c r="DU18" s="89"/>
      <c r="DV18" s="89"/>
      <c r="DW18" s="89"/>
      <c r="DX18" s="127"/>
      <c r="DY18" s="127"/>
      <c r="DZ18" s="127"/>
      <c r="EA18" s="127"/>
      <c r="EB18" s="127"/>
      <c r="EC18" s="127"/>
      <c r="ED18" s="127"/>
      <c r="EE18" s="127"/>
      <c r="EF18" s="127"/>
      <c r="EG18" s="127"/>
      <c r="EH18" s="127"/>
      <c r="EI18" s="127"/>
      <c r="EJ18" s="127"/>
      <c r="EK18" s="127"/>
      <c r="EL18" s="127"/>
      <c r="EM18" s="127"/>
      <c r="EN18" s="127"/>
      <c r="EO18" s="127"/>
      <c r="EP18" s="127"/>
      <c r="EQ18" s="127"/>
      <c r="ER18" s="127"/>
    </row>
    <row r="19" spans="1:148" s="12" customFormat="1" ht="15.75" customHeight="1">
      <c r="A19" s="111">
        <v>20</v>
      </c>
      <c r="B19" s="14">
        <f t="shared" si="7"/>
        <v>13</v>
      </c>
      <c r="C19" s="87">
        <f t="shared" si="0"/>
        <v>40441</v>
      </c>
      <c r="D19" s="149">
        <v>12</v>
      </c>
      <c r="E19" s="149">
        <v>28</v>
      </c>
      <c r="F19" s="149">
        <v>25</v>
      </c>
      <c r="G19" s="149">
        <v>20</v>
      </c>
      <c r="H19" s="149">
        <v>24</v>
      </c>
      <c r="I19" s="149">
        <v>19</v>
      </c>
      <c r="J19" s="149">
        <v>23</v>
      </c>
      <c r="K19" s="149">
        <v>25</v>
      </c>
      <c r="L19" s="187">
        <v>23</v>
      </c>
      <c r="M19" s="187">
        <v>25</v>
      </c>
      <c r="N19" s="187">
        <v>23</v>
      </c>
      <c r="O19" s="187">
        <v>25</v>
      </c>
      <c r="P19" s="187">
        <v>23</v>
      </c>
      <c r="Q19" s="187">
        <v>24</v>
      </c>
      <c r="R19" s="187">
        <v>24</v>
      </c>
      <c r="S19" s="187">
        <v>24</v>
      </c>
      <c r="T19" s="187">
        <v>23</v>
      </c>
      <c r="U19" s="187">
        <v>25</v>
      </c>
      <c r="V19" s="187">
        <v>23</v>
      </c>
      <c r="W19" s="187">
        <v>24</v>
      </c>
      <c r="X19" s="187">
        <v>23</v>
      </c>
      <c r="Y19" s="187">
        <v>25</v>
      </c>
      <c r="Z19" s="187">
        <v>23</v>
      </c>
      <c r="AA19" s="187">
        <v>24</v>
      </c>
      <c r="AB19" s="187">
        <v>23</v>
      </c>
      <c r="AC19" s="187">
        <v>25</v>
      </c>
      <c r="AD19" s="187">
        <v>23</v>
      </c>
      <c r="AE19" s="187">
        <v>24</v>
      </c>
      <c r="AF19" s="187">
        <v>23</v>
      </c>
      <c r="AG19" s="187">
        <v>25</v>
      </c>
      <c r="AH19" s="187">
        <v>23</v>
      </c>
      <c r="AI19" s="187">
        <v>25</v>
      </c>
      <c r="AJ19" s="187">
        <v>24</v>
      </c>
      <c r="AK19" s="187">
        <v>24</v>
      </c>
      <c r="AL19" s="187">
        <v>23</v>
      </c>
      <c r="AM19" s="187">
        <v>25</v>
      </c>
      <c r="AN19" s="187">
        <v>23</v>
      </c>
      <c r="AO19" s="187">
        <v>25</v>
      </c>
      <c r="AP19" s="187">
        <v>24</v>
      </c>
      <c r="AQ19" s="187">
        <v>25</v>
      </c>
      <c r="AR19" s="187">
        <v>24</v>
      </c>
      <c r="AS19" s="187">
        <v>24</v>
      </c>
      <c r="AT19" s="187">
        <v>24</v>
      </c>
      <c r="AU19" s="187">
        <v>25</v>
      </c>
      <c r="AV19" s="187">
        <v>23</v>
      </c>
      <c r="AW19" s="187">
        <v>25</v>
      </c>
      <c r="AX19" s="187">
        <v>24</v>
      </c>
      <c r="AY19" s="187">
        <v>25</v>
      </c>
      <c r="AZ19" s="187">
        <v>23</v>
      </c>
      <c r="BA19" s="187">
        <v>25</v>
      </c>
      <c r="BB19" s="187">
        <v>23</v>
      </c>
      <c r="BC19" s="187">
        <v>25</v>
      </c>
      <c r="BD19" s="187">
        <v>23</v>
      </c>
      <c r="BE19" s="187">
        <v>24</v>
      </c>
      <c r="BF19" s="187">
        <v>24</v>
      </c>
      <c r="BG19" s="187">
        <v>25</v>
      </c>
      <c r="BH19" s="149">
        <v>24</v>
      </c>
      <c r="BI19" s="149">
        <v>25</v>
      </c>
      <c r="BJ19" s="149">
        <v>17</v>
      </c>
      <c r="BK19" s="149">
        <v>28</v>
      </c>
      <c r="BL19" s="149">
        <v>20</v>
      </c>
      <c r="BM19" s="149">
        <v>17</v>
      </c>
      <c r="BN19" s="149">
        <v>9</v>
      </c>
      <c r="BO19" s="149">
        <v>25</v>
      </c>
      <c r="BP19" s="149">
        <v>25</v>
      </c>
      <c r="BQ19" s="149">
        <v>15</v>
      </c>
      <c r="BR19" s="149">
        <v>22</v>
      </c>
      <c r="BS19" s="149">
        <v>23</v>
      </c>
      <c r="BT19" s="149">
        <v>23</v>
      </c>
      <c r="BU19" s="149">
        <v>24</v>
      </c>
      <c r="BV19" s="149">
        <v>24</v>
      </c>
      <c r="BW19" s="149">
        <v>21</v>
      </c>
      <c r="BX19" s="149">
        <v>19</v>
      </c>
      <c r="BY19" s="149">
        <v>22</v>
      </c>
      <c r="BZ19" s="149">
        <v>19</v>
      </c>
      <c r="CA19" s="149">
        <v>25</v>
      </c>
      <c r="CB19" s="149">
        <v>26</v>
      </c>
      <c r="CC19" s="149">
        <v>15</v>
      </c>
      <c r="CD19" s="149">
        <v>26</v>
      </c>
      <c r="CE19" s="149">
        <v>19</v>
      </c>
      <c r="CF19" s="116">
        <f t="shared" si="1"/>
        <v>897</v>
      </c>
      <c r="CG19" s="116">
        <f t="shared" si="2"/>
        <v>943</v>
      </c>
      <c r="CH19" s="86">
        <f t="shared" si="6"/>
        <v>1840</v>
      </c>
      <c r="CY19" s="268" t="s">
        <v>112</v>
      </c>
      <c r="CZ19" s="268"/>
      <c r="DA19" s="268"/>
      <c r="DB19" s="268">
        <f>J3*100</f>
        <v>1500</v>
      </c>
      <c r="DC19" s="268"/>
      <c r="DD19" s="268"/>
      <c r="DE19" s="268">
        <f>CH31-DB19</f>
        <v>26102</v>
      </c>
      <c r="DF19" s="268"/>
      <c r="DG19" s="268"/>
      <c r="DH19" s="268">
        <f>ROUND(DB19*AD39+DE19*AH39,0)</f>
        <v>8026</v>
      </c>
      <c r="DI19" s="268"/>
      <c r="DJ19" s="268"/>
      <c r="DK19" s="88"/>
      <c r="DL19" s="280">
        <f>DB19*AD39</f>
        <v>1500</v>
      </c>
      <c r="DM19" s="280"/>
      <c r="DN19" s="280"/>
      <c r="DO19" s="280">
        <f>DE19*AH39</f>
        <v>6525.5</v>
      </c>
      <c r="DP19" s="280"/>
      <c r="DQ19" s="280"/>
      <c r="DR19" s="280">
        <f>DL19+DO19</f>
        <v>8025.5</v>
      </c>
      <c r="DS19" s="280"/>
      <c r="DT19" s="280"/>
      <c r="DU19" s="273">
        <f>IF(CH6&gt;500,J3*2*AL39,J3*CY27)</f>
        <v>4500</v>
      </c>
      <c r="DV19" s="273"/>
      <c r="DW19" s="273"/>
      <c r="DX19" s="127"/>
      <c r="DY19" s="127"/>
      <c r="DZ19" s="127"/>
      <c r="EA19" s="127"/>
      <c r="EB19" s="127"/>
      <c r="EC19" s="127"/>
      <c r="ED19" s="127"/>
      <c r="EE19" s="127"/>
      <c r="EF19" s="127"/>
      <c r="EG19" s="127"/>
      <c r="EH19" s="127"/>
      <c r="EI19" s="127"/>
      <c r="EJ19" s="127"/>
      <c r="EK19" s="127"/>
      <c r="EL19" s="127"/>
      <c r="EM19" s="127"/>
      <c r="EN19" s="127"/>
      <c r="EO19" s="127"/>
      <c r="EP19" s="127"/>
      <c r="EQ19" s="127"/>
      <c r="ER19" s="127"/>
    </row>
    <row r="20" spans="1:148" s="12" customFormat="1" ht="15.75" customHeight="1">
      <c r="A20" s="111">
        <v>22</v>
      </c>
      <c r="B20" s="14">
        <f t="shared" si="7"/>
        <v>14</v>
      </c>
      <c r="C20" s="87">
        <f t="shared" si="0"/>
        <v>40443</v>
      </c>
      <c r="D20" s="149">
        <v>12</v>
      </c>
      <c r="E20" s="149">
        <v>28</v>
      </c>
      <c r="F20" s="149">
        <v>26</v>
      </c>
      <c r="G20" s="149">
        <v>21</v>
      </c>
      <c r="H20" s="149">
        <v>23</v>
      </c>
      <c r="I20" s="149">
        <v>20</v>
      </c>
      <c r="J20" s="149">
        <v>23</v>
      </c>
      <c r="K20" s="149">
        <v>24</v>
      </c>
      <c r="L20" s="187">
        <v>24</v>
      </c>
      <c r="M20" s="187">
        <v>25</v>
      </c>
      <c r="N20" s="187">
        <v>24</v>
      </c>
      <c r="O20" s="187">
        <v>24</v>
      </c>
      <c r="P20" s="187">
        <v>23</v>
      </c>
      <c r="Q20" s="187">
        <v>25</v>
      </c>
      <c r="R20" s="187">
        <v>23</v>
      </c>
      <c r="S20" s="187">
        <v>24</v>
      </c>
      <c r="T20" s="187">
        <v>24</v>
      </c>
      <c r="U20" s="187">
        <v>24</v>
      </c>
      <c r="V20" s="187">
        <v>24</v>
      </c>
      <c r="W20" s="187">
        <v>25</v>
      </c>
      <c r="X20" s="187">
        <v>24</v>
      </c>
      <c r="Y20" s="187">
        <v>24</v>
      </c>
      <c r="Z20" s="187">
        <v>23</v>
      </c>
      <c r="AA20" s="187">
        <v>25</v>
      </c>
      <c r="AB20" s="187">
        <v>24</v>
      </c>
      <c r="AC20" s="187">
        <v>24</v>
      </c>
      <c r="AD20" s="187">
        <v>24</v>
      </c>
      <c r="AE20" s="187">
        <v>25</v>
      </c>
      <c r="AF20" s="187">
        <v>24</v>
      </c>
      <c r="AG20" s="187">
        <v>24</v>
      </c>
      <c r="AH20" s="187">
        <v>24</v>
      </c>
      <c r="AI20" s="187">
        <v>24</v>
      </c>
      <c r="AJ20" s="187">
        <v>24</v>
      </c>
      <c r="AK20" s="187">
        <v>25</v>
      </c>
      <c r="AL20" s="187">
        <v>23</v>
      </c>
      <c r="AM20" s="187">
        <v>24</v>
      </c>
      <c r="AN20" s="187">
        <v>24</v>
      </c>
      <c r="AO20" s="187">
        <v>24</v>
      </c>
      <c r="AP20" s="187">
        <v>23</v>
      </c>
      <c r="AQ20" s="187">
        <v>24</v>
      </c>
      <c r="AR20" s="187">
        <v>24</v>
      </c>
      <c r="AS20" s="187">
        <v>25</v>
      </c>
      <c r="AT20" s="187">
        <v>24</v>
      </c>
      <c r="AU20" s="187">
        <v>24</v>
      </c>
      <c r="AV20" s="187">
        <v>24</v>
      </c>
      <c r="AW20" s="187">
        <v>24</v>
      </c>
      <c r="AX20" s="187">
        <v>23</v>
      </c>
      <c r="AY20" s="187">
        <v>25</v>
      </c>
      <c r="AZ20" s="187">
        <v>23</v>
      </c>
      <c r="BA20" s="187">
        <v>24</v>
      </c>
      <c r="BB20" s="187">
        <v>24</v>
      </c>
      <c r="BC20" s="187">
        <v>24</v>
      </c>
      <c r="BD20" s="187">
        <v>23</v>
      </c>
      <c r="BE20" s="187">
        <v>24</v>
      </c>
      <c r="BF20" s="187">
        <v>24</v>
      </c>
      <c r="BG20" s="187">
        <v>25</v>
      </c>
      <c r="BH20" s="149">
        <v>24</v>
      </c>
      <c r="BI20" s="149">
        <v>24</v>
      </c>
      <c r="BJ20" s="149">
        <v>17</v>
      </c>
      <c r="BK20" s="149">
        <v>28</v>
      </c>
      <c r="BL20" s="149">
        <v>20</v>
      </c>
      <c r="BM20" s="149">
        <v>17</v>
      </c>
      <c r="BN20" s="149">
        <v>9</v>
      </c>
      <c r="BO20" s="149">
        <v>25</v>
      </c>
      <c r="BP20" s="149">
        <v>26</v>
      </c>
      <c r="BQ20" s="149">
        <v>15</v>
      </c>
      <c r="BR20" s="149">
        <v>22</v>
      </c>
      <c r="BS20" s="149">
        <v>22</v>
      </c>
      <c r="BT20" s="149">
        <v>23</v>
      </c>
      <c r="BU20" s="149">
        <v>25</v>
      </c>
      <c r="BV20" s="149">
        <v>24</v>
      </c>
      <c r="BW20" s="149">
        <v>20</v>
      </c>
      <c r="BX20" s="149">
        <v>19</v>
      </c>
      <c r="BY20" s="149">
        <v>23</v>
      </c>
      <c r="BZ20" s="149">
        <v>19</v>
      </c>
      <c r="CA20" s="149">
        <v>24</v>
      </c>
      <c r="CB20" s="149">
        <v>25</v>
      </c>
      <c r="CC20" s="149">
        <v>16</v>
      </c>
      <c r="CD20" s="149">
        <v>26</v>
      </c>
      <c r="CE20" s="149">
        <v>20</v>
      </c>
      <c r="CF20" s="116">
        <f t="shared" si="1"/>
        <v>906</v>
      </c>
      <c r="CG20" s="116">
        <f t="shared" si="2"/>
        <v>937</v>
      </c>
      <c r="CH20" s="86">
        <f t="shared" si="6"/>
        <v>1843</v>
      </c>
      <c r="CY20" s="268" t="s">
        <v>108</v>
      </c>
      <c r="CZ20" s="268"/>
      <c r="DA20" s="268"/>
      <c r="DB20" s="268">
        <f>J3*100</f>
        <v>1500</v>
      </c>
      <c r="DC20" s="268"/>
      <c r="DD20" s="268"/>
      <c r="DE20" s="268">
        <f>CH31-DB20</f>
        <v>26102</v>
      </c>
      <c r="DF20" s="268"/>
      <c r="DG20" s="268"/>
      <c r="DH20" s="282">
        <f>ROUND(DB20*AD40+DE20*AH40,0)</f>
        <v>12796</v>
      </c>
      <c r="DI20" s="282"/>
      <c r="DJ20" s="282"/>
      <c r="DK20" s="88"/>
      <c r="DL20" s="283">
        <f>DB20*AD40</f>
        <v>1050</v>
      </c>
      <c r="DM20" s="284"/>
      <c r="DN20" s="285"/>
      <c r="DO20" s="280">
        <f>DE20*AH40</f>
        <v>11745.9</v>
      </c>
      <c r="DP20" s="280"/>
      <c r="DQ20" s="280"/>
      <c r="DR20" s="280">
        <f>DL20+DO20</f>
        <v>12795.9</v>
      </c>
      <c r="DS20" s="280"/>
      <c r="DT20" s="280"/>
      <c r="DU20" s="89"/>
      <c r="DV20" s="89"/>
      <c r="DW20" s="89"/>
      <c r="DX20" s="127"/>
      <c r="DY20" s="127"/>
      <c r="DZ20" s="127"/>
      <c r="EA20" s="127"/>
      <c r="EB20" s="127"/>
      <c r="EC20" s="127"/>
      <c r="ED20" s="127"/>
      <c r="EE20" s="127"/>
      <c r="EF20" s="127"/>
      <c r="EG20" s="127"/>
      <c r="EH20" s="127"/>
      <c r="EI20" s="127"/>
      <c r="EJ20" s="127"/>
      <c r="EK20" s="127"/>
      <c r="EL20" s="127"/>
      <c r="EM20" s="127"/>
      <c r="EN20" s="127"/>
      <c r="EO20" s="127"/>
      <c r="EP20" s="127"/>
      <c r="EQ20" s="127"/>
      <c r="ER20" s="127"/>
    </row>
    <row r="21" spans="1:148" s="12" customFormat="1" ht="15.75" customHeight="1">
      <c r="A21" s="111">
        <v>28</v>
      </c>
      <c r="B21" s="14">
        <f t="shared" si="7"/>
        <v>15</v>
      </c>
      <c r="C21" s="87">
        <f t="shared" si="0"/>
        <v>40449</v>
      </c>
      <c r="D21" s="149">
        <v>11</v>
      </c>
      <c r="E21" s="149">
        <v>27</v>
      </c>
      <c r="F21" s="149">
        <v>25</v>
      </c>
      <c r="G21" s="149">
        <v>21</v>
      </c>
      <c r="H21" s="149">
        <v>24</v>
      </c>
      <c r="I21" s="149">
        <v>19</v>
      </c>
      <c r="J21" s="149">
        <v>24</v>
      </c>
      <c r="K21" s="149">
        <v>24</v>
      </c>
      <c r="L21" s="187">
        <v>24</v>
      </c>
      <c r="M21" s="187">
        <v>25</v>
      </c>
      <c r="N21" s="187">
        <v>23</v>
      </c>
      <c r="O21" s="187">
        <v>24</v>
      </c>
      <c r="P21" s="187">
        <v>23</v>
      </c>
      <c r="Q21" s="187">
        <v>25</v>
      </c>
      <c r="R21" s="187">
        <v>24</v>
      </c>
      <c r="S21" s="187">
        <v>25</v>
      </c>
      <c r="T21" s="187">
        <v>24</v>
      </c>
      <c r="U21" s="187">
        <v>24</v>
      </c>
      <c r="V21" s="187">
        <v>24</v>
      </c>
      <c r="W21" s="187">
        <v>25</v>
      </c>
      <c r="X21" s="187">
        <v>23</v>
      </c>
      <c r="Y21" s="187">
        <v>25</v>
      </c>
      <c r="Z21" s="187">
        <v>24</v>
      </c>
      <c r="AA21" s="187">
        <v>25</v>
      </c>
      <c r="AB21" s="187">
        <v>24</v>
      </c>
      <c r="AC21" s="187">
        <v>25</v>
      </c>
      <c r="AD21" s="187">
        <v>23</v>
      </c>
      <c r="AE21" s="187">
        <v>25</v>
      </c>
      <c r="AF21" s="187">
        <v>23</v>
      </c>
      <c r="AG21" s="187">
        <v>24</v>
      </c>
      <c r="AH21" s="187">
        <v>24</v>
      </c>
      <c r="AI21" s="187">
        <v>24</v>
      </c>
      <c r="AJ21" s="187">
        <v>24</v>
      </c>
      <c r="AK21" s="187">
        <v>24</v>
      </c>
      <c r="AL21" s="187">
        <v>23</v>
      </c>
      <c r="AM21" s="187">
        <v>25</v>
      </c>
      <c r="AN21" s="187">
        <v>23</v>
      </c>
      <c r="AO21" s="187">
        <v>24</v>
      </c>
      <c r="AP21" s="187">
        <v>23</v>
      </c>
      <c r="AQ21" s="187">
        <v>25</v>
      </c>
      <c r="AR21" s="187">
        <v>23</v>
      </c>
      <c r="AS21" s="187">
        <v>25</v>
      </c>
      <c r="AT21" s="187">
        <v>23</v>
      </c>
      <c r="AU21" s="187">
        <v>25</v>
      </c>
      <c r="AV21" s="187">
        <v>24</v>
      </c>
      <c r="AW21" s="187">
        <v>25</v>
      </c>
      <c r="AX21" s="187">
        <v>23</v>
      </c>
      <c r="AY21" s="187">
        <v>24</v>
      </c>
      <c r="AZ21" s="187">
        <v>24</v>
      </c>
      <c r="BA21" s="187">
        <v>24</v>
      </c>
      <c r="BB21" s="187">
        <v>23</v>
      </c>
      <c r="BC21" s="187">
        <v>24</v>
      </c>
      <c r="BD21" s="187">
        <v>24</v>
      </c>
      <c r="BE21" s="187">
        <v>24</v>
      </c>
      <c r="BF21" s="187">
        <v>24</v>
      </c>
      <c r="BG21" s="187">
        <v>24</v>
      </c>
      <c r="BH21" s="149">
        <v>24</v>
      </c>
      <c r="BI21" s="149">
        <v>24</v>
      </c>
      <c r="BJ21" s="149">
        <v>18</v>
      </c>
      <c r="BK21" s="149">
        <v>28</v>
      </c>
      <c r="BL21" s="149">
        <v>20</v>
      </c>
      <c r="BM21" s="149">
        <v>17</v>
      </c>
      <c r="BN21" s="149">
        <v>8</v>
      </c>
      <c r="BO21" s="149">
        <v>25</v>
      </c>
      <c r="BP21" s="149">
        <v>26</v>
      </c>
      <c r="BQ21" s="149">
        <v>15</v>
      </c>
      <c r="BR21" s="149">
        <v>23</v>
      </c>
      <c r="BS21" s="149">
        <v>23</v>
      </c>
      <c r="BT21" s="149">
        <v>23</v>
      </c>
      <c r="BU21" s="149">
        <v>24</v>
      </c>
      <c r="BV21" s="149">
        <v>25</v>
      </c>
      <c r="BW21" s="149">
        <v>20</v>
      </c>
      <c r="BX21" s="149">
        <v>20</v>
      </c>
      <c r="BY21" s="149">
        <v>22</v>
      </c>
      <c r="BZ21" s="149">
        <v>20</v>
      </c>
      <c r="CA21" s="149">
        <v>25</v>
      </c>
      <c r="CB21" s="149">
        <v>25</v>
      </c>
      <c r="CC21" s="149">
        <v>16</v>
      </c>
      <c r="CD21" s="149">
        <v>26</v>
      </c>
      <c r="CE21" s="149">
        <v>19</v>
      </c>
      <c r="CF21" s="116">
        <f t="shared" si="1"/>
        <v>906</v>
      </c>
      <c r="CG21" s="116">
        <f t="shared" si="2"/>
        <v>938</v>
      </c>
      <c r="CH21" s="86">
        <f t="shared" si="6"/>
        <v>1844</v>
      </c>
      <c r="CY21" s="268" t="s">
        <v>113</v>
      </c>
      <c r="CZ21" s="268"/>
      <c r="DA21" s="268"/>
      <c r="DB21" s="268">
        <f>J3*100</f>
        <v>1500</v>
      </c>
      <c r="DC21" s="268"/>
      <c r="DD21" s="268"/>
      <c r="DE21" s="268">
        <f>CH31-DB21</f>
        <v>26102</v>
      </c>
      <c r="DF21" s="268"/>
      <c r="DG21" s="268"/>
      <c r="DH21" s="282">
        <f>ROUND(DB21*AD41+DE21*AH41,0)</f>
        <v>3060</v>
      </c>
      <c r="DI21" s="282"/>
      <c r="DJ21" s="282"/>
      <c r="DK21" s="88"/>
      <c r="DL21" s="283">
        <f>DB21*AD41</f>
        <v>450</v>
      </c>
      <c r="DM21" s="284"/>
      <c r="DN21" s="285"/>
      <c r="DO21" s="280">
        <f>DE21*AH41</f>
        <v>2610.2000000000003</v>
      </c>
      <c r="DP21" s="280"/>
      <c r="DQ21" s="280"/>
      <c r="DR21" s="280">
        <f>DL21+DO21</f>
        <v>3060.2000000000003</v>
      </c>
      <c r="DS21" s="280"/>
      <c r="DT21" s="280"/>
      <c r="DU21" s="89"/>
      <c r="DV21" s="89"/>
      <c r="DW21" s="89"/>
      <c r="DX21" s="127"/>
      <c r="DY21" s="127"/>
      <c r="DZ21" s="127"/>
      <c r="EA21" s="127"/>
      <c r="EB21" s="127"/>
      <c r="EC21" s="127"/>
      <c r="ED21" s="127"/>
      <c r="EE21" s="127"/>
      <c r="EF21" s="127"/>
      <c r="EG21" s="127"/>
      <c r="EH21" s="127"/>
      <c r="EI21" s="127"/>
      <c r="EJ21" s="127"/>
      <c r="EK21" s="127"/>
      <c r="EL21" s="127"/>
      <c r="EM21" s="127"/>
      <c r="EN21" s="127"/>
      <c r="EO21" s="127"/>
      <c r="EP21" s="127"/>
      <c r="EQ21" s="127"/>
      <c r="ER21" s="127"/>
    </row>
    <row r="22" spans="1:148" s="12" customFormat="1" ht="15.75" customHeight="1">
      <c r="A22" s="111"/>
      <c r="B22" s="14">
        <f t="shared" si="7"/>
      </c>
      <c r="C22" s="87">
        <f t="shared" si="0"/>
      </c>
      <c r="D22" s="149"/>
      <c r="E22" s="149"/>
      <c r="F22" s="149"/>
      <c r="G22" s="149"/>
      <c r="H22" s="149"/>
      <c r="I22" s="149"/>
      <c r="J22" s="149"/>
      <c r="K22" s="149"/>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16">
        <f t="shared" si="1"/>
      </c>
      <c r="CG22" s="116">
        <f t="shared" si="2"/>
      </c>
      <c r="CH22" s="86">
        <f t="shared" si="6"/>
      </c>
      <c r="CY22" s="268"/>
      <c r="CZ22" s="268"/>
      <c r="DA22" s="268"/>
      <c r="DB22" s="268"/>
      <c r="DC22" s="268"/>
      <c r="DD22" s="268"/>
      <c r="DE22" s="268"/>
      <c r="DF22" s="268"/>
      <c r="DG22" s="268"/>
      <c r="DH22" s="286">
        <f>SUM(DH19:DJ21)</f>
        <v>23882</v>
      </c>
      <c r="DI22" s="286"/>
      <c r="DJ22" s="286"/>
      <c r="DK22" s="88"/>
      <c r="DL22" s="88"/>
      <c r="DM22" s="88"/>
      <c r="DN22" s="88"/>
      <c r="DO22" s="88"/>
      <c r="DP22" s="88"/>
      <c r="DQ22" s="88"/>
      <c r="DR22" s="88"/>
      <c r="DS22" s="88"/>
      <c r="DT22" s="88"/>
      <c r="DU22" s="89"/>
      <c r="DV22" s="89"/>
      <c r="DW22" s="89"/>
      <c r="DX22" s="127"/>
      <c r="DY22" s="127"/>
      <c r="DZ22" s="127"/>
      <c r="EA22" s="127"/>
      <c r="EB22" s="127"/>
      <c r="EC22" s="127"/>
      <c r="ED22" s="127"/>
      <c r="EE22" s="127"/>
      <c r="EF22" s="127"/>
      <c r="EG22" s="127"/>
      <c r="EH22" s="127"/>
      <c r="EI22" s="127"/>
      <c r="EJ22" s="127"/>
      <c r="EK22" s="127"/>
      <c r="EL22" s="127"/>
      <c r="EM22" s="127"/>
      <c r="EN22" s="127"/>
      <c r="EO22" s="127"/>
      <c r="EP22" s="127"/>
      <c r="EQ22" s="127"/>
      <c r="ER22" s="127"/>
    </row>
    <row r="23" spans="1:148" s="12" customFormat="1" ht="15.75" customHeight="1">
      <c r="A23" s="111"/>
      <c r="B23" s="14">
        <f t="shared" si="7"/>
      </c>
      <c r="C23" s="87">
        <f t="shared" si="0"/>
      </c>
      <c r="D23" s="149"/>
      <c r="E23" s="149"/>
      <c r="F23" s="149"/>
      <c r="G23" s="149"/>
      <c r="H23" s="149"/>
      <c r="I23" s="149"/>
      <c r="J23" s="149"/>
      <c r="K23" s="149"/>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16">
        <f t="shared" si="1"/>
      </c>
      <c r="CG23" s="116">
        <f t="shared" si="2"/>
      </c>
      <c r="CH23" s="86">
        <f t="shared" si="6"/>
      </c>
      <c r="CY23" s="253">
        <f>CH6</f>
        <v>1881</v>
      </c>
      <c r="CZ23" s="253"/>
      <c r="DA23" s="253"/>
      <c r="DU23" s="89"/>
      <c r="DV23" s="89"/>
      <c r="DW23" s="89"/>
      <c r="DX23" s="127"/>
      <c r="DY23" s="127"/>
      <c r="DZ23" s="127"/>
      <c r="EA23" s="127"/>
      <c r="EB23" s="127"/>
      <c r="EC23" s="127"/>
      <c r="ED23" s="127"/>
      <c r="EE23" s="127"/>
      <c r="EF23" s="127"/>
      <c r="EG23" s="127"/>
      <c r="EH23" s="127"/>
      <c r="EI23" s="127"/>
      <c r="EJ23" s="127"/>
      <c r="EK23" s="127"/>
      <c r="EL23" s="127"/>
      <c r="EM23" s="127"/>
      <c r="EN23" s="127"/>
      <c r="EO23" s="127"/>
      <c r="EP23" s="127"/>
      <c r="EQ23" s="127"/>
      <c r="ER23" s="127"/>
    </row>
    <row r="24" spans="1:148" s="12" customFormat="1" ht="15.75" customHeight="1">
      <c r="A24" s="111"/>
      <c r="B24" s="14">
        <f t="shared" si="7"/>
      </c>
      <c r="C24" s="87">
        <f t="shared" si="0"/>
      </c>
      <c r="D24" s="149"/>
      <c r="E24" s="149"/>
      <c r="F24" s="149"/>
      <c r="G24" s="149"/>
      <c r="H24" s="149"/>
      <c r="I24" s="149"/>
      <c r="J24" s="149"/>
      <c r="K24" s="149"/>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16">
        <f t="shared" si="1"/>
      </c>
      <c r="CG24" s="116">
        <f t="shared" si="2"/>
      </c>
      <c r="CH24" s="86">
        <f t="shared" si="6"/>
      </c>
      <c r="CY24" s="186">
        <v>100</v>
      </c>
      <c r="CZ24" s="253">
        <f>CY24*AD39</f>
        <v>100</v>
      </c>
      <c r="DA24" s="253"/>
      <c r="DX24" s="127"/>
      <c r="DY24" s="127"/>
      <c r="DZ24" s="127"/>
      <c r="EA24" s="127"/>
      <c r="EB24" s="127"/>
      <c r="EC24" s="127"/>
      <c r="ED24" s="127"/>
      <c r="EE24" s="127"/>
      <c r="EF24" s="127"/>
      <c r="EG24" s="127"/>
      <c r="EH24" s="127"/>
      <c r="EI24" s="127"/>
      <c r="EJ24" s="127"/>
      <c r="EK24" s="127"/>
      <c r="EL24" s="127"/>
      <c r="EM24" s="127"/>
      <c r="EN24" s="127"/>
      <c r="EO24" s="127"/>
      <c r="EP24" s="127"/>
      <c r="EQ24" s="127"/>
      <c r="ER24" s="127"/>
    </row>
    <row r="25" spans="1:148" s="12" customFormat="1" ht="15.75" customHeight="1">
      <c r="A25" s="111"/>
      <c r="B25" s="14">
        <f t="shared" si="7"/>
      </c>
      <c r="C25" s="87">
        <f t="shared" si="0"/>
      </c>
      <c r="D25" s="149"/>
      <c r="E25" s="149"/>
      <c r="F25" s="149"/>
      <c r="G25" s="149"/>
      <c r="H25" s="149"/>
      <c r="I25" s="149"/>
      <c r="J25" s="149"/>
      <c r="K25" s="149"/>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16">
        <f t="shared" si="1"/>
      </c>
      <c r="CG25" s="116">
        <f t="shared" si="2"/>
      </c>
      <c r="CH25" s="86">
        <f t="shared" si="6"/>
      </c>
      <c r="CY25" s="186">
        <f>CY23-CY24</f>
        <v>1781</v>
      </c>
      <c r="CZ25" s="253">
        <f>CY25*AH39</f>
        <v>445.25</v>
      </c>
      <c r="DA25" s="253"/>
      <c r="DX25" s="127"/>
      <c r="DY25" s="127"/>
      <c r="DZ25" s="127"/>
      <c r="EA25" s="127"/>
      <c r="EB25" s="127"/>
      <c r="EC25" s="127"/>
      <c r="ED25" s="127"/>
      <c r="EE25" s="127"/>
      <c r="EF25" s="127"/>
      <c r="EG25" s="127"/>
      <c r="EH25" s="127"/>
      <c r="EI25" s="127"/>
      <c r="EJ25" s="127"/>
      <c r="EK25" s="127"/>
      <c r="EL25" s="127"/>
      <c r="EM25" s="127"/>
      <c r="EN25" s="127"/>
      <c r="EO25" s="127"/>
      <c r="EP25" s="127"/>
      <c r="EQ25" s="127"/>
      <c r="ER25" s="127"/>
    </row>
    <row r="26" spans="1:148" s="12" customFormat="1" ht="15.75" customHeight="1">
      <c r="A26" s="111"/>
      <c r="B26" s="14">
        <f t="shared" si="7"/>
      </c>
      <c r="C26" s="87">
        <f t="shared" si="0"/>
      </c>
      <c r="D26" s="149"/>
      <c r="E26" s="149"/>
      <c r="F26" s="149"/>
      <c r="G26" s="149"/>
      <c r="H26" s="149"/>
      <c r="I26" s="149"/>
      <c r="J26" s="149"/>
      <c r="K26" s="149"/>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16">
        <f t="shared" si="1"/>
      </c>
      <c r="CG26" s="116">
        <f t="shared" si="2"/>
      </c>
      <c r="CH26" s="86">
        <f t="shared" si="6"/>
      </c>
      <c r="CY26" s="253">
        <f>CZ24+CZ25</f>
        <v>545.25</v>
      </c>
      <c r="CZ26" s="253"/>
      <c r="DA26" s="253"/>
      <c r="DX26" s="127"/>
      <c r="DY26" s="127"/>
      <c r="DZ26" s="127"/>
      <c r="EA26" s="127"/>
      <c r="EB26" s="127"/>
      <c r="EC26" s="127"/>
      <c r="ED26" s="127"/>
      <c r="EE26" s="127"/>
      <c r="EF26" s="127"/>
      <c r="EG26" s="127"/>
      <c r="EH26" s="127"/>
      <c r="EI26" s="127"/>
      <c r="EJ26" s="127"/>
      <c r="EK26" s="127"/>
      <c r="EL26" s="127"/>
      <c r="EM26" s="127"/>
      <c r="EN26" s="127"/>
      <c r="EO26" s="127"/>
      <c r="EP26" s="127"/>
      <c r="EQ26" s="127"/>
      <c r="ER26" s="127"/>
    </row>
    <row r="27" spans="1:148" s="12" customFormat="1" ht="15.75" customHeight="1">
      <c r="A27" s="111"/>
      <c r="B27" s="14">
        <f t="shared" si="7"/>
      </c>
      <c r="C27" s="87">
        <f t="shared" si="0"/>
      </c>
      <c r="D27" s="149"/>
      <c r="E27" s="149"/>
      <c r="F27" s="149"/>
      <c r="G27" s="149"/>
      <c r="H27" s="149"/>
      <c r="I27" s="149"/>
      <c r="J27" s="149"/>
      <c r="K27" s="149"/>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16">
        <f t="shared" si="1"/>
      </c>
      <c r="CG27" s="116">
        <f t="shared" si="2"/>
      </c>
      <c r="CH27" s="86">
        <f t="shared" si="6"/>
      </c>
      <c r="CY27" s="254">
        <f>IF(CY23&lt;500,MIN(CY26,AL39),"")</f>
      </c>
      <c r="CZ27" s="254"/>
      <c r="DA27" s="254"/>
      <c r="DX27" s="127"/>
      <c r="DY27" s="127"/>
      <c r="DZ27" s="127"/>
      <c r="EA27" s="127"/>
      <c r="EB27" s="127"/>
      <c r="EC27" s="127"/>
      <c r="ED27" s="127"/>
      <c r="EE27" s="127"/>
      <c r="EF27" s="127"/>
      <c r="EG27" s="127"/>
      <c r="EH27" s="127"/>
      <c r="EI27" s="127"/>
      <c r="EJ27" s="127"/>
      <c r="EK27" s="127"/>
      <c r="EL27" s="127"/>
      <c r="EM27" s="127"/>
      <c r="EN27" s="127"/>
      <c r="EO27" s="127"/>
      <c r="EP27" s="127"/>
      <c r="EQ27" s="127"/>
      <c r="ER27" s="127"/>
    </row>
    <row r="28" spans="1:148" s="12" customFormat="1" ht="15.75" customHeight="1">
      <c r="A28" s="111"/>
      <c r="B28" s="14">
        <f t="shared" si="7"/>
      </c>
      <c r="C28" s="87">
        <f t="shared" si="0"/>
      </c>
      <c r="D28" s="149"/>
      <c r="E28" s="149"/>
      <c r="F28" s="149"/>
      <c r="G28" s="149"/>
      <c r="H28" s="149"/>
      <c r="I28" s="149"/>
      <c r="J28" s="149"/>
      <c r="K28" s="149"/>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16">
        <f t="shared" si="1"/>
      </c>
      <c r="CG28" s="116">
        <f t="shared" si="2"/>
      </c>
      <c r="CH28" s="86">
        <f t="shared" si="6"/>
      </c>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row>
    <row r="29" spans="1:148" s="12" customFormat="1" ht="15.75" customHeight="1">
      <c r="A29" s="111"/>
      <c r="B29" s="14">
        <f t="shared" si="7"/>
      </c>
      <c r="C29" s="87">
        <f t="shared" si="0"/>
      </c>
      <c r="D29" s="95"/>
      <c r="E29" s="96"/>
      <c r="F29" s="95"/>
      <c r="G29" s="96"/>
      <c r="H29" s="95"/>
      <c r="I29" s="96"/>
      <c r="J29" s="95"/>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5"/>
      <c r="BI29" s="96"/>
      <c r="BJ29" s="95"/>
      <c r="BK29" s="96"/>
      <c r="BL29" s="95"/>
      <c r="BM29" s="96"/>
      <c r="BN29" s="95"/>
      <c r="BO29" s="96"/>
      <c r="BP29" s="95"/>
      <c r="BQ29" s="96"/>
      <c r="BR29" s="95"/>
      <c r="BS29" s="96"/>
      <c r="BT29" s="95"/>
      <c r="BU29" s="96"/>
      <c r="BV29" s="95"/>
      <c r="BW29" s="96"/>
      <c r="BX29" s="95"/>
      <c r="BY29" s="96"/>
      <c r="BZ29" s="95"/>
      <c r="CA29" s="96"/>
      <c r="CB29" s="95"/>
      <c r="CC29" s="96"/>
      <c r="CD29" s="95"/>
      <c r="CE29" s="96"/>
      <c r="CF29" s="116">
        <f t="shared" si="1"/>
      </c>
      <c r="CG29" s="116">
        <f t="shared" si="2"/>
      </c>
      <c r="CH29" s="86">
        <f t="shared" si="6"/>
      </c>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row>
    <row r="30" spans="1:148" s="12" customFormat="1" ht="15.75" customHeight="1">
      <c r="A30" s="111"/>
      <c r="B30" s="14">
        <f t="shared" si="7"/>
      </c>
      <c r="C30" s="87">
        <f t="shared" si="0"/>
      </c>
      <c r="D30" s="95"/>
      <c r="E30" s="96"/>
      <c r="F30" s="95"/>
      <c r="G30" s="96"/>
      <c r="H30" s="95"/>
      <c r="I30" s="96"/>
      <c r="J30" s="95"/>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5"/>
      <c r="BI30" s="96"/>
      <c r="BJ30" s="95"/>
      <c r="BK30" s="96"/>
      <c r="BL30" s="95"/>
      <c r="BM30" s="96"/>
      <c r="BN30" s="95"/>
      <c r="BO30" s="96"/>
      <c r="BP30" s="95"/>
      <c r="BQ30" s="96"/>
      <c r="BR30" s="95"/>
      <c r="BS30" s="96"/>
      <c r="BT30" s="95"/>
      <c r="BU30" s="96"/>
      <c r="BV30" s="95"/>
      <c r="BW30" s="96"/>
      <c r="BX30" s="95"/>
      <c r="BY30" s="96"/>
      <c r="BZ30" s="95"/>
      <c r="CA30" s="96"/>
      <c r="CB30" s="95"/>
      <c r="CC30" s="96"/>
      <c r="CD30" s="95"/>
      <c r="CE30" s="96"/>
      <c r="CF30" s="116">
        <f t="shared" si="1"/>
      </c>
      <c r="CG30" s="116">
        <f t="shared" si="2"/>
      </c>
      <c r="CH30" s="86">
        <f t="shared" si="6"/>
      </c>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row>
    <row r="31" spans="1:148" s="6" customFormat="1" ht="18" customHeight="1">
      <c r="A31" s="9"/>
      <c r="B31" s="235" t="s">
        <v>9</v>
      </c>
      <c r="C31" s="236"/>
      <c r="D31" s="94">
        <f>IF(D7&lt;&gt;"",SUM(D7:D30),"")</f>
        <v>174</v>
      </c>
      <c r="E31" s="94">
        <f aca="true" t="shared" si="8" ref="E31:CH31">IF(E7&lt;&gt;"",SUM(E7:E30),"")</f>
        <v>414</v>
      </c>
      <c r="F31" s="94">
        <f t="shared" si="8"/>
        <v>380</v>
      </c>
      <c r="G31" s="94">
        <f t="shared" si="8"/>
        <v>310</v>
      </c>
      <c r="H31" s="94">
        <f t="shared" si="8"/>
        <v>352</v>
      </c>
      <c r="I31" s="94">
        <f t="shared" si="8"/>
        <v>292</v>
      </c>
      <c r="J31" s="94">
        <f t="shared" si="8"/>
        <v>350</v>
      </c>
      <c r="K31" s="94">
        <f t="shared" si="8"/>
        <v>367</v>
      </c>
      <c r="L31" s="94">
        <f t="shared" si="8"/>
        <v>353</v>
      </c>
      <c r="M31" s="94">
        <f t="shared" si="8"/>
        <v>369</v>
      </c>
      <c r="N31" s="94">
        <f t="shared" si="8"/>
        <v>352</v>
      </c>
      <c r="O31" s="94">
        <f t="shared" si="8"/>
        <v>366</v>
      </c>
      <c r="P31" s="94">
        <f t="shared" si="8"/>
        <v>353</v>
      </c>
      <c r="Q31" s="94">
        <f t="shared" si="8"/>
        <v>369</v>
      </c>
      <c r="R31" s="94">
        <f t="shared" si="8"/>
        <v>351</v>
      </c>
      <c r="S31" s="94">
        <f t="shared" si="8"/>
        <v>367</v>
      </c>
      <c r="T31" s="94">
        <f t="shared" si="8"/>
        <v>355</v>
      </c>
      <c r="U31" s="94">
        <f t="shared" si="8"/>
        <v>368</v>
      </c>
      <c r="V31" s="94">
        <f t="shared" si="8"/>
        <v>351</v>
      </c>
      <c r="W31" s="94">
        <f t="shared" si="8"/>
        <v>368</v>
      </c>
      <c r="X31" s="94">
        <f t="shared" si="8"/>
        <v>351</v>
      </c>
      <c r="Y31" s="94">
        <f t="shared" si="8"/>
        <v>368</v>
      </c>
      <c r="Z31" s="94">
        <f t="shared" si="8"/>
        <v>351</v>
      </c>
      <c r="AA31" s="94">
        <f t="shared" si="8"/>
        <v>367</v>
      </c>
      <c r="AB31" s="94">
        <f t="shared" si="8"/>
        <v>353</v>
      </c>
      <c r="AC31" s="94">
        <f t="shared" si="8"/>
        <v>367</v>
      </c>
      <c r="AD31" s="94">
        <f t="shared" si="8"/>
        <v>352</v>
      </c>
      <c r="AE31" s="94">
        <f t="shared" si="8"/>
        <v>367</v>
      </c>
      <c r="AF31" s="94">
        <f t="shared" si="8"/>
        <v>351</v>
      </c>
      <c r="AG31" s="94">
        <f t="shared" si="8"/>
        <v>367</v>
      </c>
      <c r="AH31" s="94">
        <f t="shared" si="8"/>
        <v>353</v>
      </c>
      <c r="AI31" s="94">
        <f t="shared" si="8"/>
        <v>366</v>
      </c>
      <c r="AJ31" s="94">
        <f t="shared" si="8"/>
        <v>351</v>
      </c>
      <c r="AK31" s="94">
        <f t="shared" si="8"/>
        <v>370</v>
      </c>
      <c r="AL31" s="94">
        <f t="shared" si="8"/>
        <v>351</v>
      </c>
      <c r="AM31" s="94">
        <f t="shared" si="8"/>
        <v>367</v>
      </c>
      <c r="AN31" s="94">
        <f t="shared" si="8"/>
        <v>352</v>
      </c>
      <c r="AO31" s="94">
        <f t="shared" si="8"/>
        <v>370</v>
      </c>
      <c r="AP31" s="94">
        <f t="shared" si="8"/>
        <v>349</v>
      </c>
      <c r="AQ31" s="94">
        <f t="shared" si="8"/>
        <v>366</v>
      </c>
      <c r="AR31" s="94">
        <f t="shared" si="8"/>
        <v>350</v>
      </c>
      <c r="AS31" s="94">
        <f t="shared" si="8"/>
        <v>368</v>
      </c>
      <c r="AT31" s="94">
        <f t="shared" si="8"/>
        <v>355</v>
      </c>
      <c r="AU31" s="94">
        <f t="shared" si="8"/>
        <v>363</v>
      </c>
      <c r="AV31" s="94">
        <f t="shared" si="8"/>
        <v>352</v>
      </c>
      <c r="AW31" s="94">
        <f t="shared" si="8"/>
        <v>369</v>
      </c>
      <c r="AX31" s="94">
        <f t="shared" si="8"/>
        <v>351</v>
      </c>
      <c r="AY31" s="94">
        <f t="shared" si="8"/>
        <v>366</v>
      </c>
      <c r="AZ31" s="94">
        <f t="shared" si="8"/>
        <v>352</v>
      </c>
      <c r="BA31" s="94">
        <f t="shared" si="8"/>
        <v>370</v>
      </c>
      <c r="BB31" s="94">
        <f t="shared" si="8"/>
        <v>352</v>
      </c>
      <c r="BC31" s="94">
        <f t="shared" si="8"/>
        <v>370</v>
      </c>
      <c r="BD31" s="94">
        <f t="shared" si="8"/>
        <v>351</v>
      </c>
      <c r="BE31" s="94">
        <f t="shared" si="8"/>
        <v>366</v>
      </c>
      <c r="BF31" s="94">
        <f t="shared" si="8"/>
        <v>354</v>
      </c>
      <c r="BG31" s="94">
        <f t="shared" si="8"/>
        <v>366</v>
      </c>
      <c r="BH31" s="94">
        <f t="shared" si="8"/>
        <v>357</v>
      </c>
      <c r="BI31" s="94">
        <f t="shared" si="8"/>
        <v>366</v>
      </c>
      <c r="BJ31" s="94">
        <f t="shared" si="8"/>
        <v>263</v>
      </c>
      <c r="BK31" s="94">
        <f t="shared" si="8"/>
        <v>417</v>
      </c>
      <c r="BL31" s="94">
        <f t="shared" si="8"/>
        <v>295</v>
      </c>
      <c r="BM31" s="94">
        <f t="shared" si="8"/>
        <v>261</v>
      </c>
      <c r="BN31" s="94">
        <f t="shared" si="8"/>
        <v>129</v>
      </c>
      <c r="BO31" s="94">
        <f t="shared" si="8"/>
        <v>367</v>
      </c>
      <c r="BP31" s="94">
        <f t="shared" si="8"/>
        <v>384</v>
      </c>
      <c r="BQ31" s="94">
        <f t="shared" si="8"/>
        <v>217</v>
      </c>
      <c r="BR31" s="94">
        <f t="shared" si="8"/>
        <v>335</v>
      </c>
      <c r="BS31" s="94">
        <f t="shared" si="8"/>
        <v>339</v>
      </c>
      <c r="BT31" s="94">
        <f t="shared" si="8"/>
        <v>350</v>
      </c>
      <c r="BU31" s="94">
        <f t="shared" si="8"/>
        <v>366</v>
      </c>
      <c r="BV31" s="94">
        <f t="shared" si="8"/>
        <v>368</v>
      </c>
      <c r="BW31" s="94">
        <f t="shared" si="8"/>
        <v>304</v>
      </c>
      <c r="BX31" s="94">
        <f t="shared" si="8"/>
        <v>291</v>
      </c>
      <c r="BY31" s="94">
        <f t="shared" si="8"/>
        <v>339</v>
      </c>
      <c r="BZ31" s="94">
        <f t="shared" si="8"/>
        <v>294</v>
      </c>
      <c r="CA31" s="94">
        <f t="shared" si="8"/>
        <v>367</v>
      </c>
      <c r="CB31" s="94">
        <f t="shared" si="8"/>
        <v>381</v>
      </c>
      <c r="CC31" s="94">
        <f t="shared" si="8"/>
        <v>232</v>
      </c>
      <c r="CD31" s="94">
        <f t="shared" si="8"/>
        <v>384</v>
      </c>
      <c r="CE31" s="94">
        <f t="shared" si="8"/>
        <v>291</v>
      </c>
      <c r="CF31" s="94">
        <f t="shared" si="8"/>
        <v>13533</v>
      </c>
      <c r="CG31" s="94">
        <f t="shared" si="8"/>
        <v>14069</v>
      </c>
      <c r="CH31" s="94">
        <f t="shared" si="8"/>
        <v>27602</v>
      </c>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row>
    <row r="32" spans="12:148" s="12" customFormat="1" ht="18" customHeight="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row>
    <row r="33" spans="3:148" s="12" customFormat="1" ht="18" customHeight="1">
      <c r="C33" s="252" t="s">
        <v>52</v>
      </c>
      <c r="D33" s="252"/>
      <c r="E33" s="252"/>
      <c r="F33" s="252"/>
      <c r="G33" s="252"/>
      <c r="H33" s="252"/>
      <c r="I33" s="252"/>
      <c r="J33" s="252"/>
      <c r="K33" s="226" t="s">
        <v>149</v>
      </c>
      <c r="L33" s="226"/>
      <c r="M33" s="226"/>
      <c r="N33" s="226"/>
      <c r="O33" s="226"/>
      <c r="P33" s="226"/>
      <c r="Q33" s="226"/>
      <c r="R33" s="226"/>
      <c r="S33" s="226"/>
      <c r="T33" s="226"/>
      <c r="U33" s="226"/>
      <c r="V33" s="192"/>
      <c r="W33" s="192"/>
      <c r="X33" s="266" t="s">
        <v>123</v>
      </c>
      <c r="Y33" s="266"/>
      <c r="Z33" s="266"/>
      <c r="AA33" s="266"/>
      <c r="AB33" s="266"/>
      <c r="AC33" s="266"/>
      <c r="AD33" s="229" t="s">
        <v>124</v>
      </c>
      <c r="AE33" s="229"/>
      <c r="AF33" s="229" t="s">
        <v>115</v>
      </c>
      <c r="AG33" s="229"/>
      <c r="AH33" s="229" t="s">
        <v>16</v>
      </c>
      <c r="AI33" s="229"/>
      <c r="AJ33" s="229" t="s">
        <v>17</v>
      </c>
      <c r="AK33" s="229"/>
      <c r="AL33" s="229" t="s">
        <v>18</v>
      </c>
      <c r="AM33" s="229"/>
      <c r="AN33" s="229" t="s">
        <v>19</v>
      </c>
      <c r="AO33" s="229"/>
      <c r="AP33" s="229" t="s">
        <v>20</v>
      </c>
      <c r="AQ33" s="229"/>
      <c r="AR33" s="229" t="s">
        <v>21</v>
      </c>
      <c r="AS33" s="229"/>
      <c r="AT33" s="229" t="s">
        <v>191</v>
      </c>
      <c r="AU33" s="229"/>
      <c r="AV33" s="229" t="s">
        <v>187</v>
      </c>
      <c r="AW33" s="229"/>
      <c r="AX33" s="192"/>
      <c r="AY33" s="192"/>
      <c r="AZ33" s="192"/>
      <c r="BA33" s="192"/>
      <c r="BB33" s="192"/>
      <c r="BC33" s="192"/>
      <c r="BD33" s="192"/>
      <c r="BE33" s="192"/>
      <c r="BF33" s="192"/>
      <c r="BG33" s="192"/>
      <c r="BH33" s="192"/>
      <c r="BI33" s="192"/>
      <c r="BJ33" s="192"/>
      <c r="BK33" s="192"/>
      <c r="BL33" s="192"/>
      <c r="BM33" s="192"/>
      <c r="BN33" s="192"/>
      <c r="BO33" s="26"/>
      <c r="BP33" s="26"/>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row>
    <row r="34" spans="3:148" s="93" customFormat="1" ht="18" customHeight="1">
      <c r="C34" s="246" t="s">
        <v>122</v>
      </c>
      <c r="D34" s="247"/>
      <c r="E34" s="247"/>
      <c r="F34" s="247"/>
      <c r="G34" s="247"/>
      <c r="H34" s="247"/>
      <c r="I34" s="247"/>
      <c r="J34" s="248"/>
      <c r="K34" s="226" t="s">
        <v>150</v>
      </c>
      <c r="L34" s="226"/>
      <c r="M34" s="226"/>
      <c r="N34" s="226"/>
      <c r="O34" s="226"/>
      <c r="P34" s="226"/>
      <c r="Q34" s="226"/>
      <c r="R34" s="226"/>
      <c r="S34" s="226"/>
      <c r="T34" s="226"/>
      <c r="U34" s="226"/>
      <c r="V34" s="192"/>
      <c r="W34" s="192"/>
      <c r="X34" s="242" t="s">
        <v>140</v>
      </c>
      <c r="Y34" s="243"/>
      <c r="Z34" s="243"/>
      <c r="AA34" s="243"/>
      <c r="AB34" s="243"/>
      <c r="AC34" s="244"/>
      <c r="AD34" s="230">
        <v>0.1</v>
      </c>
      <c r="AE34" s="230"/>
      <c r="AF34" s="230">
        <v>0.03</v>
      </c>
      <c r="AG34" s="230"/>
      <c r="AH34" s="230">
        <v>0.03</v>
      </c>
      <c r="AI34" s="230"/>
      <c r="AJ34" s="230">
        <v>0.03</v>
      </c>
      <c r="AK34" s="230"/>
      <c r="AL34" s="230">
        <v>0.03</v>
      </c>
      <c r="AM34" s="230"/>
      <c r="AN34" s="230">
        <v>0.03</v>
      </c>
      <c r="AO34" s="230"/>
      <c r="AP34" s="230">
        <v>0.03</v>
      </c>
      <c r="AQ34" s="230"/>
      <c r="AR34" s="230">
        <v>0.03</v>
      </c>
      <c r="AS34" s="230"/>
      <c r="AT34" s="230">
        <v>0.15</v>
      </c>
      <c r="AU34" s="230"/>
      <c r="AV34" s="231">
        <v>1</v>
      </c>
      <c r="AW34" s="231"/>
      <c r="AX34" s="192"/>
      <c r="AY34" s="192"/>
      <c r="AZ34" s="192"/>
      <c r="BA34" s="192"/>
      <c r="BB34" s="192"/>
      <c r="BC34" s="192"/>
      <c r="BD34" s="192"/>
      <c r="BE34" s="192"/>
      <c r="BF34" s="192"/>
      <c r="BG34" s="192"/>
      <c r="BH34" s="192"/>
      <c r="BI34" s="192"/>
      <c r="BJ34" s="192"/>
      <c r="BK34" s="192"/>
      <c r="BL34" s="192"/>
      <c r="BM34" s="192"/>
      <c r="BN34" s="192"/>
      <c r="BO34" s="26"/>
      <c r="BP34" s="26"/>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row>
    <row r="35" spans="3:148" s="12" customFormat="1" ht="18" customHeight="1">
      <c r="C35" s="252" t="s">
        <v>53</v>
      </c>
      <c r="D35" s="252"/>
      <c r="E35" s="252"/>
      <c r="F35" s="252"/>
      <c r="G35" s="252"/>
      <c r="H35" s="252"/>
      <c r="I35" s="252"/>
      <c r="J35" s="252"/>
      <c r="K35" s="226">
        <v>48086</v>
      </c>
      <c r="L35" s="226"/>
      <c r="M35" s="226"/>
      <c r="N35" s="226"/>
      <c r="O35" s="226"/>
      <c r="P35" s="226"/>
      <c r="Q35" s="226"/>
      <c r="R35" s="226"/>
      <c r="S35" s="226"/>
      <c r="T35" s="226"/>
      <c r="U35" s="226"/>
      <c r="V35" s="192"/>
      <c r="W35" s="192"/>
      <c r="X35" s="242" t="s">
        <v>141</v>
      </c>
      <c r="Y35" s="243"/>
      <c r="Z35" s="243"/>
      <c r="AA35" s="243"/>
      <c r="AB35" s="243"/>
      <c r="AC35" s="244"/>
      <c r="AD35" s="230">
        <v>0.15</v>
      </c>
      <c r="AE35" s="230"/>
      <c r="AF35" s="230">
        <v>0.05</v>
      </c>
      <c r="AG35" s="230"/>
      <c r="AH35" s="230">
        <v>0.05</v>
      </c>
      <c r="AI35" s="230"/>
      <c r="AJ35" s="230">
        <v>0.05</v>
      </c>
      <c r="AK35" s="230"/>
      <c r="AL35" s="230">
        <v>0.05</v>
      </c>
      <c r="AM35" s="230"/>
      <c r="AN35" s="230">
        <v>0.05</v>
      </c>
      <c r="AO35" s="230"/>
      <c r="AP35" s="230">
        <v>0.05</v>
      </c>
      <c r="AQ35" s="230"/>
      <c r="AR35" s="230">
        <v>0.05</v>
      </c>
      <c r="AS35" s="230"/>
      <c r="AT35" s="230">
        <v>0.15</v>
      </c>
      <c r="AU35" s="230"/>
      <c r="AV35" s="231"/>
      <c r="AW35" s="231"/>
      <c r="AX35" s="192"/>
      <c r="AY35" s="192"/>
      <c r="AZ35" s="192"/>
      <c r="BA35" s="192"/>
      <c r="BB35" s="192"/>
      <c r="BC35" s="192"/>
      <c r="BD35" s="192"/>
      <c r="BE35" s="192"/>
      <c r="BF35" s="192"/>
      <c r="BG35" s="192"/>
      <c r="BH35" s="192"/>
      <c r="BI35" s="192"/>
      <c r="BJ35" s="192"/>
      <c r="BK35" s="192"/>
      <c r="BL35" s="192"/>
      <c r="BM35" s="192"/>
      <c r="BN35" s="192"/>
      <c r="BO35" s="26"/>
      <c r="BP35" s="26"/>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row>
    <row r="36" spans="3:148" s="12" customFormat="1" ht="18" customHeight="1">
      <c r="C36" s="252" t="s">
        <v>54</v>
      </c>
      <c r="D36" s="252"/>
      <c r="E36" s="252"/>
      <c r="F36" s="252"/>
      <c r="G36" s="252"/>
      <c r="H36" s="252"/>
      <c r="I36" s="252"/>
      <c r="J36" s="252"/>
      <c r="K36" s="226" t="s">
        <v>55</v>
      </c>
      <c r="L36" s="226"/>
      <c r="M36" s="226"/>
      <c r="N36" s="226"/>
      <c r="O36" s="226"/>
      <c r="P36" s="226"/>
      <c r="Q36" s="226"/>
      <c r="R36" s="226"/>
      <c r="S36" s="226"/>
      <c r="T36" s="226"/>
      <c r="U36" s="226"/>
      <c r="V36" s="192"/>
      <c r="W36" s="192"/>
      <c r="X36" s="140"/>
      <c r="Y36" s="140"/>
      <c r="Z36" s="140"/>
      <c r="AA36" s="140"/>
      <c r="AB36" s="245"/>
      <c r="AC36" s="245"/>
      <c r="AD36" s="233"/>
      <c r="AE36" s="233"/>
      <c r="AF36" s="233"/>
      <c r="AG36" s="233"/>
      <c r="AH36" s="233"/>
      <c r="AI36" s="233"/>
      <c r="AJ36" s="233"/>
      <c r="AK36" s="233"/>
      <c r="AL36" s="233"/>
      <c r="AM36" s="233"/>
      <c r="AN36" s="232" t="s">
        <v>197</v>
      </c>
      <c r="AO36" s="232"/>
      <c r="AP36" s="232"/>
      <c r="AQ36" s="232"/>
      <c r="AR36" s="232"/>
      <c r="AS36" s="232"/>
      <c r="AT36" s="230"/>
      <c r="AU36" s="230"/>
      <c r="AV36" s="230"/>
      <c r="AW36" s="230"/>
      <c r="AX36" s="192"/>
      <c r="AY36" s="192"/>
      <c r="AZ36" s="192"/>
      <c r="BA36" s="192"/>
      <c r="BB36" s="192"/>
      <c r="BC36" s="192"/>
      <c r="BD36" s="192"/>
      <c r="BE36" s="192"/>
      <c r="BF36" s="192"/>
      <c r="BG36" s="192"/>
      <c r="BH36" s="192"/>
      <c r="BI36" s="192"/>
      <c r="BJ36" s="192"/>
      <c r="BK36" s="192"/>
      <c r="BL36" s="192"/>
      <c r="BM36" s="192"/>
      <c r="BN36" s="192"/>
      <c r="BO36" s="26"/>
      <c r="BP36" s="26"/>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row>
    <row r="37" spans="3:148" s="12" customFormat="1" ht="18" customHeight="1">
      <c r="C37" s="252" t="s">
        <v>56</v>
      </c>
      <c r="D37" s="252"/>
      <c r="E37" s="252"/>
      <c r="F37" s="252"/>
      <c r="G37" s="252"/>
      <c r="H37" s="252"/>
      <c r="I37" s="252"/>
      <c r="J37" s="252"/>
      <c r="K37" s="226" t="s">
        <v>57</v>
      </c>
      <c r="L37" s="226"/>
      <c r="M37" s="226"/>
      <c r="N37" s="226"/>
      <c r="O37" s="226"/>
      <c r="P37" s="226"/>
      <c r="Q37" s="226"/>
      <c r="R37" s="226"/>
      <c r="S37" s="226"/>
      <c r="T37" s="226"/>
      <c r="U37" s="226"/>
      <c r="V37" s="192"/>
      <c r="W37" s="192"/>
      <c r="X37" s="276" t="s">
        <v>143</v>
      </c>
      <c r="Y37" s="276"/>
      <c r="Z37" s="276"/>
      <c r="AA37" s="276"/>
      <c r="AB37" s="276"/>
      <c r="AC37" s="276"/>
      <c r="AD37" s="276"/>
      <c r="AE37" s="276"/>
      <c r="AF37" s="276"/>
      <c r="AG37" s="276"/>
      <c r="AH37" s="276"/>
      <c r="AI37" s="276"/>
      <c r="AJ37" s="276"/>
      <c r="AK37" s="276"/>
      <c r="AL37" s="233"/>
      <c r="AM37" s="233"/>
      <c r="AN37" s="139"/>
      <c r="AO37" s="139"/>
      <c r="AP37" s="134"/>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26"/>
      <c r="BP37" s="26"/>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row>
    <row r="38" spans="3:148" s="12" customFormat="1" ht="18" customHeight="1">
      <c r="C38" s="252" t="s">
        <v>58</v>
      </c>
      <c r="D38" s="252"/>
      <c r="E38" s="252"/>
      <c r="F38" s="252"/>
      <c r="G38" s="252"/>
      <c r="H38" s="252"/>
      <c r="I38" s="252"/>
      <c r="J38" s="252"/>
      <c r="K38" s="226" t="s">
        <v>151</v>
      </c>
      <c r="L38" s="226"/>
      <c r="M38" s="226"/>
      <c r="N38" s="226"/>
      <c r="O38" s="226"/>
      <c r="P38" s="226"/>
      <c r="Q38" s="226"/>
      <c r="R38" s="226"/>
      <c r="S38" s="226"/>
      <c r="T38" s="226"/>
      <c r="U38" s="226"/>
      <c r="V38" s="192"/>
      <c r="W38" s="192"/>
      <c r="X38" s="266" t="s">
        <v>99</v>
      </c>
      <c r="Y38" s="266"/>
      <c r="Z38" s="266"/>
      <c r="AA38" s="266"/>
      <c r="AB38" s="266"/>
      <c r="AC38" s="266"/>
      <c r="AD38" s="281" t="s">
        <v>111</v>
      </c>
      <c r="AE38" s="281"/>
      <c r="AF38" s="281"/>
      <c r="AG38" s="281"/>
      <c r="AH38" s="281" t="s">
        <v>102</v>
      </c>
      <c r="AI38" s="281"/>
      <c r="AJ38" s="281"/>
      <c r="AK38" s="281"/>
      <c r="AL38" s="275" t="s">
        <v>196</v>
      </c>
      <c r="AM38" s="275"/>
      <c r="AN38" s="139"/>
      <c r="AO38" s="139"/>
      <c r="AP38" s="134"/>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26"/>
      <c r="BP38" s="26"/>
      <c r="DG38" s="127"/>
      <c r="DH38" s="127"/>
      <c r="DI38" s="127"/>
      <c r="DJ38" s="127"/>
      <c r="DK38" s="127"/>
      <c r="DL38" s="127"/>
      <c r="DM38" s="127"/>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row>
    <row r="39" spans="3:148" s="12" customFormat="1" ht="18" customHeight="1">
      <c r="C39" s="252" t="s">
        <v>59</v>
      </c>
      <c r="D39" s="252"/>
      <c r="E39" s="252"/>
      <c r="F39" s="252"/>
      <c r="G39" s="252"/>
      <c r="H39" s="252"/>
      <c r="I39" s="252"/>
      <c r="J39" s="252"/>
      <c r="K39" s="226" t="s">
        <v>152</v>
      </c>
      <c r="L39" s="226"/>
      <c r="M39" s="226"/>
      <c r="N39" s="226"/>
      <c r="O39" s="226"/>
      <c r="P39" s="226"/>
      <c r="Q39" s="226"/>
      <c r="R39" s="226"/>
      <c r="S39" s="226"/>
      <c r="T39" s="226"/>
      <c r="U39" s="226"/>
      <c r="V39" s="192"/>
      <c r="W39" s="192"/>
      <c r="X39" s="242" t="s">
        <v>142</v>
      </c>
      <c r="Y39" s="243"/>
      <c r="Z39" s="243"/>
      <c r="AA39" s="243"/>
      <c r="AB39" s="243"/>
      <c r="AC39" s="244"/>
      <c r="AD39" s="277">
        <v>1</v>
      </c>
      <c r="AE39" s="278"/>
      <c r="AF39" s="278"/>
      <c r="AG39" s="279"/>
      <c r="AH39" s="277">
        <v>0.25</v>
      </c>
      <c r="AI39" s="278"/>
      <c r="AJ39" s="278"/>
      <c r="AK39" s="279"/>
      <c r="AL39" s="231">
        <v>150</v>
      </c>
      <c r="AM39" s="231"/>
      <c r="AN39" s="139"/>
      <c r="AO39" s="139"/>
      <c r="AP39" s="134"/>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26"/>
      <c r="BP39" s="26"/>
      <c r="DG39" s="127"/>
      <c r="DH39" s="127"/>
      <c r="DI39" s="127"/>
      <c r="DJ39" s="127"/>
      <c r="DK39" s="127"/>
      <c r="DL39" s="127"/>
      <c r="DM39" s="127"/>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row>
    <row r="40" spans="3:148" s="12" customFormat="1" ht="18" customHeight="1">
      <c r="C40" s="274" t="s">
        <v>137</v>
      </c>
      <c r="D40" s="274"/>
      <c r="E40" s="274"/>
      <c r="F40" s="274"/>
      <c r="G40" s="274"/>
      <c r="H40" s="274"/>
      <c r="I40" s="274"/>
      <c r="J40" s="274"/>
      <c r="K40" s="227" t="s">
        <v>153</v>
      </c>
      <c r="L40" s="227"/>
      <c r="M40" s="227"/>
      <c r="N40" s="227"/>
      <c r="O40" s="227"/>
      <c r="P40" s="227"/>
      <c r="Q40" s="227"/>
      <c r="R40" s="227"/>
      <c r="S40" s="227"/>
      <c r="T40" s="227"/>
      <c r="U40" s="227"/>
      <c r="V40" s="193"/>
      <c r="W40" s="193"/>
      <c r="X40" s="242" t="s">
        <v>108</v>
      </c>
      <c r="Y40" s="243"/>
      <c r="Z40" s="243"/>
      <c r="AA40" s="243"/>
      <c r="AB40" s="243"/>
      <c r="AC40" s="244"/>
      <c r="AD40" s="277">
        <v>0.7</v>
      </c>
      <c r="AE40" s="278"/>
      <c r="AF40" s="278"/>
      <c r="AG40" s="279"/>
      <c r="AH40" s="277">
        <v>0.45</v>
      </c>
      <c r="AI40" s="278"/>
      <c r="AJ40" s="278"/>
      <c r="AK40" s="279"/>
      <c r="AL40" s="233"/>
      <c r="AM40" s="233"/>
      <c r="AN40" s="139"/>
      <c r="AO40" s="139"/>
      <c r="AP40" s="134"/>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27"/>
      <c r="BP40" s="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row>
    <row r="41" spans="3:68" s="127" customFormat="1" ht="18" customHeight="1">
      <c r="C41" s="274" t="s">
        <v>138</v>
      </c>
      <c r="D41" s="274"/>
      <c r="E41" s="274"/>
      <c r="F41" s="274"/>
      <c r="G41" s="274"/>
      <c r="H41" s="274"/>
      <c r="I41" s="274"/>
      <c r="J41" s="274"/>
      <c r="K41" s="228" t="s">
        <v>154</v>
      </c>
      <c r="L41" s="228"/>
      <c r="M41" s="228"/>
      <c r="N41" s="228"/>
      <c r="O41" s="228"/>
      <c r="P41" s="228"/>
      <c r="Q41" s="228"/>
      <c r="R41" s="228"/>
      <c r="S41" s="228"/>
      <c r="T41" s="228"/>
      <c r="U41" s="228"/>
      <c r="V41" s="194"/>
      <c r="W41" s="194"/>
      <c r="X41" s="242" t="s">
        <v>113</v>
      </c>
      <c r="Y41" s="243"/>
      <c r="Z41" s="243"/>
      <c r="AA41" s="243"/>
      <c r="AB41" s="243"/>
      <c r="AC41" s="244"/>
      <c r="AD41" s="277">
        <v>0.3</v>
      </c>
      <c r="AE41" s="278"/>
      <c r="AF41" s="278"/>
      <c r="AG41" s="279"/>
      <c r="AH41" s="277">
        <v>0.1</v>
      </c>
      <c r="AI41" s="278"/>
      <c r="AJ41" s="278"/>
      <c r="AK41" s="279"/>
      <c r="AL41" s="233"/>
      <c r="AM41" s="233"/>
      <c r="AN41" s="135"/>
      <c r="AO41" s="135"/>
      <c r="AP41" s="135"/>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27"/>
      <c r="BP41" s="27"/>
    </row>
    <row r="42" spans="2:87" s="127" customFormat="1" ht="18" customHeight="1">
      <c r="B42" s="27"/>
      <c r="C42" s="137"/>
      <c r="D42" s="137"/>
      <c r="E42" s="137"/>
      <c r="F42" s="137"/>
      <c r="G42" s="137"/>
      <c r="H42" s="137"/>
      <c r="I42" s="137"/>
      <c r="J42" s="137"/>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27"/>
      <c r="BI42" s="27"/>
      <c r="BJ42" s="27"/>
      <c r="BK42" s="27"/>
      <c r="BL42" s="27"/>
      <c r="BM42" s="27"/>
      <c r="BN42" s="27"/>
      <c r="BO42" s="27"/>
      <c r="BP42" s="27"/>
      <c r="BQ42" s="136"/>
      <c r="BR42" s="136"/>
      <c r="BS42" s="136"/>
      <c r="BT42" s="136"/>
      <c r="BU42" s="136"/>
      <c r="BV42" s="136"/>
      <c r="BW42" s="134"/>
      <c r="BX42" s="134"/>
      <c r="BY42" s="135"/>
      <c r="BZ42" s="135"/>
      <c r="CA42" s="135"/>
      <c r="CB42" s="135"/>
      <c r="CC42" s="135"/>
      <c r="CD42" s="135"/>
      <c r="CE42" s="135"/>
      <c r="CF42" s="135"/>
      <c r="CG42" s="135"/>
      <c r="CH42" s="135"/>
      <c r="CI42" s="135"/>
    </row>
    <row r="43" spans="2:87" s="127" customFormat="1" ht="18" customHeight="1">
      <c r="B43" s="27"/>
      <c r="C43" s="137"/>
      <c r="D43" s="137"/>
      <c r="E43" s="137"/>
      <c r="F43" s="137"/>
      <c r="G43" s="137"/>
      <c r="H43" s="137"/>
      <c r="I43" s="137"/>
      <c r="J43" s="137"/>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27"/>
      <c r="BI43" s="27"/>
      <c r="BJ43" s="27"/>
      <c r="BK43" s="27"/>
      <c r="BL43" s="27"/>
      <c r="BM43" s="27"/>
      <c r="BN43" s="27"/>
      <c r="BO43" s="27"/>
      <c r="BP43" s="27"/>
      <c r="BQ43" s="136"/>
      <c r="BR43" s="136"/>
      <c r="BS43" s="136"/>
      <c r="BT43" s="136"/>
      <c r="BU43" s="136"/>
      <c r="BV43" s="136"/>
      <c r="BW43" s="134"/>
      <c r="BX43" s="134"/>
      <c r="BY43" s="135"/>
      <c r="BZ43" s="135"/>
      <c r="CA43" s="135"/>
      <c r="CB43" s="135"/>
      <c r="CC43" s="135"/>
      <c r="CD43" s="135"/>
      <c r="CE43" s="135"/>
      <c r="CF43" s="135"/>
      <c r="CG43" s="135"/>
      <c r="CH43" s="135"/>
      <c r="CI43" s="135"/>
    </row>
    <row r="44" spans="2:87" s="127" customFormat="1" ht="18" customHeight="1">
      <c r="B44" s="27"/>
      <c r="C44" s="137"/>
      <c r="D44" s="137"/>
      <c r="E44" s="137"/>
      <c r="F44" s="137"/>
      <c r="G44" s="137"/>
      <c r="H44" s="137"/>
      <c r="I44" s="137"/>
      <c r="J44" s="137"/>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27"/>
      <c r="BI44" s="27"/>
      <c r="BJ44" s="27"/>
      <c r="BK44" s="27"/>
      <c r="BL44" s="27"/>
      <c r="BM44" s="27"/>
      <c r="BN44" s="27"/>
      <c r="BO44" s="27"/>
      <c r="BP44" s="27"/>
      <c r="BQ44" s="136"/>
      <c r="BR44" s="136"/>
      <c r="BS44" s="136"/>
      <c r="BT44" s="136"/>
      <c r="BU44" s="136"/>
      <c r="BV44" s="136"/>
      <c r="BW44" s="134"/>
      <c r="BX44" s="134"/>
      <c r="BY44" s="135"/>
      <c r="BZ44" s="135"/>
      <c r="CA44" s="135"/>
      <c r="CB44" s="135"/>
      <c r="CC44" s="135"/>
      <c r="CD44" s="135"/>
      <c r="CE44" s="135"/>
      <c r="CF44" s="135"/>
      <c r="CG44" s="135"/>
      <c r="CH44" s="135"/>
      <c r="CI44" s="135"/>
    </row>
    <row r="45" spans="2:87" s="127" customFormat="1" ht="18" customHeight="1">
      <c r="B45" s="27"/>
      <c r="C45" s="137"/>
      <c r="D45" s="137"/>
      <c r="E45" s="137"/>
      <c r="F45" s="137"/>
      <c r="G45" s="137"/>
      <c r="H45" s="137"/>
      <c r="I45" s="137"/>
      <c r="J45" s="137"/>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27"/>
      <c r="BI45" s="27"/>
      <c r="BJ45" s="27"/>
      <c r="BK45" s="27"/>
      <c r="BL45" s="27"/>
      <c r="BM45" s="27"/>
      <c r="BN45" s="27"/>
      <c r="BO45" s="27"/>
      <c r="BP45" s="27"/>
      <c r="BQ45" s="136"/>
      <c r="BR45" s="136"/>
      <c r="BS45" s="136"/>
      <c r="BT45" s="136"/>
      <c r="BU45" s="136"/>
      <c r="BV45" s="136"/>
      <c r="BW45" s="134"/>
      <c r="BX45" s="134"/>
      <c r="BY45" s="135"/>
      <c r="BZ45" s="135"/>
      <c r="CA45" s="135"/>
      <c r="CB45" s="135"/>
      <c r="CC45" s="135"/>
      <c r="CD45" s="135"/>
      <c r="CE45" s="135"/>
      <c r="CF45" s="135"/>
      <c r="CG45" s="135"/>
      <c r="CH45" s="135"/>
      <c r="CI45" s="135"/>
    </row>
    <row r="46" spans="12:148" s="12" customFormat="1" ht="18" customHeight="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Z46" s="89"/>
      <c r="CA46" s="89"/>
      <c r="CB46" s="89"/>
      <c r="CC46" s="89"/>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row>
    <row r="47" spans="12:148" s="12" customFormat="1" ht="18" customHeight="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Z47" s="89"/>
      <c r="CA47" s="89"/>
      <c r="CB47" s="89"/>
      <c r="CC47" s="89"/>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row>
    <row r="48" spans="12:148" s="12" customFormat="1" ht="18" customHeight="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Z48" s="89"/>
      <c r="CA48" s="89"/>
      <c r="CB48" s="89"/>
      <c r="CC48" s="89"/>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row>
    <row r="49" spans="12:148" s="12" customFormat="1" ht="18" customHeight="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Z49" s="89"/>
      <c r="CA49" s="89"/>
      <c r="CB49" s="89"/>
      <c r="CC49" s="89"/>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row>
    <row r="50" spans="12:148" s="12" customFormat="1" ht="18" customHeight="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Z50" s="89"/>
      <c r="CA50" s="89"/>
      <c r="CB50" s="89"/>
      <c r="CC50" s="89"/>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row>
    <row r="51" spans="12:148" s="12" customFormat="1" ht="18" customHeight="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Z51" s="89"/>
      <c r="CA51" s="89"/>
      <c r="CB51" s="89"/>
      <c r="CC51" s="89"/>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row>
    <row r="52" spans="12:148" s="12" customFormat="1" ht="18" customHeight="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Z52" s="89"/>
      <c r="CA52" s="89"/>
      <c r="CB52" s="89"/>
      <c r="CC52" s="89"/>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row>
    <row r="53" spans="12:148" s="12" customFormat="1" ht="18" customHeight="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row>
    <row r="54" spans="12:148" s="12" customFormat="1" ht="18" customHeight="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row>
    <row r="55" spans="12:148" s="12" customFormat="1" ht="18" customHeight="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row>
    <row r="56" spans="12:148" s="12" customFormat="1" ht="18" customHeight="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row>
    <row r="57" spans="2:148" s="12" customFormat="1" ht="18" customHeight="1">
      <c r="B57" s="15"/>
      <c r="C57" s="15"/>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row>
    <row r="58" spans="3:148" s="12" customFormat="1" ht="18" customHeight="1">
      <c r="C58" s="15"/>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row>
    <row r="59" ht="18" customHeight="1">
      <c r="C59" s="15"/>
    </row>
  </sheetData>
  <sheetProtection/>
  <mergeCells count="132">
    <mergeCell ref="DH21:DJ21"/>
    <mergeCell ref="DL20:DN20"/>
    <mergeCell ref="DL21:DN21"/>
    <mergeCell ref="DE22:DG22"/>
    <mergeCell ref="DH22:DJ22"/>
    <mergeCell ref="CY20:DA20"/>
    <mergeCell ref="DB20:DD20"/>
    <mergeCell ref="CY21:DA21"/>
    <mergeCell ref="DB21:DD21"/>
    <mergeCell ref="DR19:DT19"/>
    <mergeCell ref="AD38:AG38"/>
    <mergeCell ref="AH38:AK38"/>
    <mergeCell ref="AD39:AG39"/>
    <mergeCell ref="AH39:AK39"/>
    <mergeCell ref="AD40:AG40"/>
    <mergeCell ref="AH40:AK40"/>
    <mergeCell ref="DR20:DT20"/>
    <mergeCell ref="DO21:DQ21"/>
    <mergeCell ref="DR21:DT21"/>
    <mergeCell ref="AJ36:AK36"/>
    <mergeCell ref="C39:J39"/>
    <mergeCell ref="AD41:AG41"/>
    <mergeCell ref="AH41:AK41"/>
    <mergeCell ref="DO20:DQ20"/>
    <mergeCell ref="DL19:DN19"/>
    <mergeCell ref="DO19:DQ19"/>
    <mergeCell ref="DE20:DG20"/>
    <mergeCell ref="DH20:DJ20"/>
    <mergeCell ref="DE21:DG21"/>
    <mergeCell ref="X40:AC40"/>
    <mergeCell ref="X41:AC41"/>
    <mergeCell ref="DU19:DW19"/>
    <mergeCell ref="C40:J40"/>
    <mergeCell ref="C41:J41"/>
    <mergeCell ref="AL36:AM36"/>
    <mergeCell ref="AL37:AM37"/>
    <mergeCell ref="AL38:AM38"/>
    <mergeCell ref="AL39:AM39"/>
    <mergeCell ref="AL40:AM40"/>
    <mergeCell ref="DE19:DG19"/>
    <mergeCell ref="DH19:DJ19"/>
    <mergeCell ref="DE18:DG18"/>
    <mergeCell ref="DH18:DJ18"/>
    <mergeCell ref="X38:AC38"/>
    <mergeCell ref="X39:AC39"/>
    <mergeCell ref="X37:AK37"/>
    <mergeCell ref="AD36:AE36"/>
    <mergeCell ref="AF36:AG36"/>
    <mergeCell ref="AH36:AI36"/>
    <mergeCell ref="AF34:AG34"/>
    <mergeCell ref="AH34:AI34"/>
    <mergeCell ref="CY22:DA22"/>
    <mergeCell ref="DB22:DD22"/>
    <mergeCell ref="DA2:DA3"/>
    <mergeCell ref="CY18:DA18"/>
    <mergeCell ref="DB18:DD18"/>
    <mergeCell ref="CY19:DA19"/>
    <mergeCell ref="DB19:DD19"/>
    <mergeCell ref="CY17:DT17"/>
    <mergeCell ref="CZ2:CZ3"/>
    <mergeCell ref="CF4:CH4"/>
    <mergeCell ref="AL33:AM33"/>
    <mergeCell ref="CY2:CY3"/>
    <mergeCell ref="B3:I3"/>
    <mergeCell ref="J3:K3"/>
    <mergeCell ref="X33:AC33"/>
    <mergeCell ref="AD33:AE33"/>
    <mergeCell ref="AF33:AG33"/>
    <mergeCell ref="CZ24:DA24"/>
    <mergeCell ref="CZ25:DA25"/>
    <mergeCell ref="CY26:DA26"/>
    <mergeCell ref="CY23:DA23"/>
    <mergeCell ref="CY27:DA27"/>
    <mergeCell ref="K38:U38"/>
    <mergeCell ref="AH33:AI33"/>
    <mergeCell ref="AJ33:AK33"/>
    <mergeCell ref="X34:AC34"/>
    <mergeCell ref="AD34:AE34"/>
    <mergeCell ref="K37:U37"/>
    <mergeCell ref="AJ34:AK34"/>
    <mergeCell ref="A3:A6"/>
    <mergeCell ref="C38:J38"/>
    <mergeCell ref="C36:J36"/>
    <mergeCell ref="C37:J37"/>
    <mergeCell ref="C5:C6"/>
    <mergeCell ref="C33:J33"/>
    <mergeCell ref="C35:J35"/>
    <mergeCell ref="L3:N3"/>
    <mergeCell ref="AB36:AC36"/>
    <mergeCell ref="C34:J34"/>
    <mergeCell ref="K33:U33"/>
    <mergeCell ref="K34:U34"/>
    <mergeCell ref="K35:U35"/>
    <mergeCell ref="K36:U36"/>
    <mergeCell ref="X35:AC35"/>
    <mergeCell ref="AD35:AE35"/>
    <mergeCell ref="AF35:AG35"/>
    <mergeCell ref="AH35:AI35"/>
    <mergeCell ref="AJ35:AK35"/>
    <mergeCell ref="AL35:AM35"/>
    <mergeCell ref="B1:CH1"/>
    <mergeCell ref="B31:C31"/>
    <mergeCell ref="B4:C4"/>
    <mergeCell ref="L2:N2"/>
    <mergeCell ref="O2:Q2"/>
    <mergeCell ref="O3:Q3"/>
    <mergeCell ref="B5:B6"/>
    <mergeCell ref="B2:G2"/>
    <mergeCell ref="H2:K2"/>
    <mergeCell ref="AT35:AU35"/>
    <mergeCell ref="AV35:AW35"/>
    <mergeCell ref="AN36:AS36"/>
    <mergeCell ref="AT36:AU36"/>
    <mergeCell ref="AV36:AW36"/>
    <mergeCell ref="AL41:AM41"/>
    <mergeCell ref="AT33:AU33"/>
    <mergeCell ref="AV33:AW33"/>
    <mergeCell ref="AN34:AO34"/>
    <mergeCell ref="AP34:AQ34"/>
    <mergeCell ref="AR34:AS34"/>
    <mergeCell ref="AT34:AU34"/>
    <mergeCell ref="AV34:AW34"/>
    <mergeCell ref="K39:U39"/>
    <mergeCell ref="K40:U40"/>
    <mergeCell ref="K41:U41"/>
    <mergeCell ref="AN33:AO33"/>
    <mergeCell ref="AP33:AQ33"/>
    <mergeCell ref="AR33:AS33"/>
    <mergeCell ref="AN35:AO35"/>
    <mergeCell ref="AP35:AQ35"/>
    <mergeCell ref="AR35:AS35"/>
    <mergeCell ref="AL34:AM34"/>
  </mergeCells>
  <printOptions horizontalCentered="1"/>
  <pageMargins left="0.03937007874015748" right="0.03937007874015748" top="0.2362204724409449" bottom="0.31496062992125984" header="0.1968503937007874" footer="0.2755905511811024"/>
  <pageSetup blackAndWhite="1"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B11" sqref="B11"/>
    </sheetView>
  </sheetViews>
  <sheetFormatPr defaultColWidth="9.140625" defaultRowHeight="18" customHeight="1"/>
  <cols>
    <col min="1" max="1" width="12.8515625" style="12" customWidth="1"/>
    <col min="2" max="9" width="9.57421875" style="12" customWidth="1"/>
    <col min="10" max="13" width="7.7109375" style="12" customWidth="1"/>
    <col min="14" max="33" width="6.00390625" style="12" customWidth="1"/>
    <col min="34" max="16384" width="8.8515625" style="12" customWidth="1"/>
  </cols>
  <sheetData>
    <row r="1" spans="1:9" ht="21.75" customHeight="1">
      <c r="A1" s="287" t="s">
        <v>36</v>
      </c>
      <c r="B1" s="287"/>
      <c r="C1" s="287"/>
      <c r="D1" s="287"/>
      <c r="E1" s="287"/>
      <c r="F1" s="287"/>
      <c r="G1" s="287"/>
      <c r="H1" s="287"/>
      <c r="I1" s="287"/>
    </row>
    <row r="2" spans="1:9" ht="28.5" customHeight="1">
      <c r="A2" s="30" t="s">
        <v>99</v>
      </c>
      <c r="B2" s="17" t="s">
        <v>14</v>
      </c>
      <c r="C2" s="20" t="s">
        <v>15</v>
      </c>
      <c r="D2" s="8" t="s">
        <v>16</v>
      </c>
      <c r="E2" s="8" t="s">
        <v>17</v>
      </c>
      <c r="F2" s="8" t="s">
        <v>18</v>
      </c>
      <c r="G2" s="8" t="s">
        <v>19</v>
      </c>
      <c r="H2" s="8" t="s">
        <v>20</v>
      </c>
      <c r="I2" s="8" t="s">
        <v>21</v>
      </c>
    </row>
    <row r="3" spans="1:9" ht="28.5" customHeight="1">
      <c r="A3" s="20" t="s">
        <v>12</v>
      </c>
      <c r="B3" s="107">
        <v>600</v>
      </c>
      <c r="C3" s="107">
        <v>454</v>
      </c>
      <c r="D3" s="107">
        <v>232</v>
      </c>
      <c r="E3" s="107">
        <v>32</v>
      </c>
      <c r="F3" s="107">
        <v>333</v>
      </c>
      <c r="G3" s="107">
        <v>23</v>
      </c>
      <c r="H3" s="107">
        <v>400</v>
      </c>
      <c r="I3" s="107"/>
    </row>
    <row r="4" spans="1:9" ht="18" customHeight="1">
      <c r="A4" s="19">
        <f>DATA!C7</f>
        <v>40422</v>
      </c>
      <c r="B4" s="107"/>
      <c r="C4" s="107"/>
      <c r="D4" s="107"/>
      <c r="E4" s="107"/>
      <c r="F4" s="107"/>
      <c r="G4" s="107"/>
      <c r="H4" s="107"/>
      <c r="I4" s="107"/>
    </row>
    <row r="5" spans="1:9" ht="18" customHeight="1">
      <c r="A5" s="19">
        <f>DATA!C8</f>
        <v>40424</v>
      </c>
      <c r="B5" s="107"/>
      <c r="C5" s="107"/>
      <c r="D5" s="107"/>
      <c r="E5" s="107"/>
      <c r="F5" s="107"/>
      <c r="G5" s="107">
        <v>400</v>
      </c>
      <c r="H5" s="107"/>
      <c r="I5" s="107"/>
    </row>
    <row r="6" spans="1:9" ht="18" customHeight="1">
      <c r="A6" s="19">
        <f>DATA!C9</f>
        <v>40425</v>
      </c>
      <c r="B6" s="107">
        <v>500</v>
      </c>
      <c r="C6" s="107">
        <v>400</v>
      </c>
      <c r="D6" s="107">
        <v>222</v>
      </c>
      <c r="E6" s="107">
        <v>332</v>
      </c>
      <c r="F6" s="107"/>
      <c r="G6" s="107"/>
      <c r="H6" s="107"/>
      <c r="I6" s="107"/>
    </row>
    <row r="7" spans="1:9" ht="18" customHeight="1">
      <c r="A7" s="19">
        <f>DATA!C10</f>
        <v>40426</v>
      </c>
      <c r="B7" s="107"/>
      <c r="C7" s="107"/>
      <c r="D7" s="107"/>
      <c r="E7" s="107"/>
      <c r="F7" s="107"/>
      <c r="G7" s="107"/>
      <c r="H7" s="107"/>
      <c r="I7" s="107"/>
    </row>
    <row r="8" spans="1:9" ht="18" customHeight="1">
      <c r="A8" s="19">
        <f>DATA!C11</f>
        <v>40427</v>
      </c>
      <c r="B8" s="107"/>
      <c r="C8" s="107"/>
      <c r="D8" s="107"/>
      <c r="E8" s="107"/>
      <c r="F8" s="107"/>
      <c r="G8" s="107"/>
      <c r="H8" s="107"/>
      <c r="I8" s="107"/>
    </row>
    <row r="9" spans="1:9" ht="18" customHeight="1">
      <c r="A9" s="19">
        <f>DATA!C12</f>
        <v>40431</v>
      </c>
      <c r="B9" s="107">
        <v>500</v>
      </c>
      <c r="C9" s="107"/>
      <c r="D9" s="107"/>
      <c r="E9" s="107"/>
      <c r="F9" s="107"/>
      <c r="G9" s="107"/>
      <c r="H9" s="107"/>
      <c r="I9" s="107"/>
    </row>
    <row r="10" spans="1:9" ht="18" customHeight="1">
      <c r="A10" s="19">
        <f>DATA!C13</f>
        <v>40432</v>
      </c>
      <c r="B10" s="107">
        <v>2000</v>
      </c>
      <c r="C10" s="107"/>
      <c r="D10" s="107"/>
      <c r="E10" s="107"/>
      <c r="F10" s="107"/>
      <c r="G10" s="107"/>
      <c r="H10" s="107"/>
      <c r="I10" s="107"/>
    </row>
    <row r="11" spans="1:9" ht="18" customHeight="1">
      <c r="A11" s="19">
        <f>DATA!C14</f>
        <v>40434</v>
      </c>
      <c r="B11" s="107"/>
      <c r="C11" s="107"/>
      <c r="D11" s="107"/>
      <c r="E11" s="107"/>
      <c r="F11" s="107"/>
      <c r="G11" s="107"/>
      <c r="H11" s="107"/>
      <c r="I11" s="107"/>
    </row>
    <row r="12" spans="1:9" ht="18" customHeight="1">
      <c r="A12" s="19">
        <f>DATA!C15</f>
        <v>40437</v>
      </c>
      <c r="B12" s="107"/>
      <c r="C12" s="107"/>
      <c r="D12" s="107"/>
      <c r="E12" s="107"/>
      <c r="F12" s="107"/>
      <c r="G12" s="107"/>
      <c r="H12" s="107"/>
      <c r="I12" s="107"/>
    </row>
    <row r="13" spans="1:9" ht="18" customHeight="1">
      <c r="A13" s="19">
        <f>DATA!C16</f>
        <v>40438</v>
      </c>
      <c r="B13" s="107"/>
      <c r="C13" s="107"/>
      <c r="D13" s="107"/>
      <c r="E13" s="107"/>
      <c r="F13" s="107"/>
      <c r="G13" s="107"/>
      <c r="H13" s="107"/>
      <c r="I13" s="107"/>
    </row>
    <row r="14" spans="1:9" ht="18" customHeight="1">
      <c r="A14" s="19">
        <f>DATA!C17</f>
        <v>40439</v>
      </c>
      <c r="B14" s="107"/>
      <c r="C14" s="107"/>
      <c r="D14" s="107"/>
      <c r="E14" s="107"/>
      <c r="F14" s="107"/>
      <c r="G14" s="107"/>
      <c r="H14" s="107"/>
      <c r="I14" s="107"/>
    </row>
    <row r="15" spans="1:9" ht="18" customHeight="1">
      <c r="A15" s="19">
        <f>DATA!C18</f>
        <v>40440</v>
      </c>
      <c r="B15" s="107"/>
      <c r="C15" s="107"/>
      <c r="D15" s="107"/>
      <c r="E15" s="107"/>
      <c r="F15" s="107"/>
      <c r="G15" s="107"/>
      <c r="H15" s="107"/>
      <c r="I15" s="107"/>
    </row>
    <row r="16" spans="1:9" ht="18" customHeight="1">
      <c r="A16" s="19">
        <f>DATA!C19</f>
        <v>40441</v>
      </c>
      <c r="B16" s="107"/>
      <c r="C16" s="107"/>
      <c r="D16" s="107"/>
      <c r="E16" s="107"/>
      <c r="F16" s="107"/>
      <c r="G16" s="107"/>
      <c r="H16" s="107"/>
      <c r="I16" s="107"/>
    </row>
    <row r="17" spans="1:9" ht="18" customHeight="1">
      <c r="A17" s="19">
        <f>DATA!C20</f>
        <v>40443</v>
      </c>
      <c r="B17" s="107"/>
      <c r="C17" s="107"/>
      <c r="D17" s="107"/>
      <c r="E17" s="107"/>
      <c r="F17" s="107"/>
      <c r="G17" s="107"/>
      <c r="H17" s="107"/>
      <c r="I17" s="107"/>
    </row>
    <row r="18" spans="1:9" ht="18" customHeight="1">
      <c r="A18" s="19">
        <f>DATA!C21</f>
        <v>40449</v>
      </c>
      <c r="B18" s="107"/>
      <c r="C18" s="107"/>
      <c r="D18" s="107"/>
      <c r="E18" s="107"/>
      <c r="F18" s="107"/>
      <c r="G18" s="107"/>
      <c r="H18" s="107"/>
      <c r="I18" s="107"/>
    </row>
    <row r="19" spans="1:9" ht="18" customHeight="1">
      <c r="A19" s="19">
        <f>DATA!C22</f>
      </c>
      <c r="B19" s="107"/>
      <c r="C19" s="107"/>
      <c r="D19" s="107"/>
      <c r="E19" s="107"/>
      <c r="F19" s="107"/>
      <c r="G19" s="107"/>
      <c r="H19" s="107"/>
      <c r="I19" s="107"/>
    </row>
    <row r="20" spans="1:9" ht="18" customHeight="1">
      <c r="A20" s="19">
        <f>DATA!C23</f>
      </c>
      <c r="B20" s="107"/>
      <c r="C20" s="107"/>
      <c r="D20" s="107"/>
      <c r="E20" s="107"/>
      <c r="F20" s="107"/>
      <c r="G20" s="107"/>
      <c r="H20" s="107"/>
      <c r="I20" s="107"/>
    </row>
    <row r="21" spans="1:9" ht="18" customHeight="1">
      <c r="A21" s="19">
        <f>DATA!C24</f>
      </c>
      <c r="B21" s="107"/>
      <c r="C21" s="107"/>
      <c r="D21" s="107"/>
      <c r="E21" s="107"/>
      <c r="F21" s="107"/>
      <c r="G21" s="107"/>
      <c r="H21" s="107"/>
      <c r="I21" s="107"/>
    </row>
    <row r="22" spans="1:9" ht="18" customHeight="1">
      <c r="A22" s="19">
        <f>DATA!C25</f>
      </c>
      <c r="B22" s="107"/>
      <c r="C22" s="107"/>
      <c r="D22" s="107"/>
      <c r="E22" s="107"/>
      <c r="F22" s="107"/>
      <c r="G22" s="107"/>
      <c r="H22" s="107"/>
      <c r="I22" s="107"/>
    </row>
    <row r="23" spans="1:9" ht="18" customHeight="1">
      <c r="A23" s="19">
        <f>DATA!C26</f>
      </c>
      <c r="B23" s="107"/>
      <c r="C23" s="107"/>
      <c r="D23" s="107"/>
      <c r="E23" s="107"/>
      <c r="F23" s="107"/>
      <c r="G23" s="107"/>
      <c r="H23" s="107"/>
      <c r="I23" s="107"/>
    </row>
    <row r="24" spans="1:9" ht="18" customHeight="1">
      <c r="A24" s="19">
        <f>DATA!C27</f>
      </c>
      <c r="B24" s="107"/>
      <c r="C24" s="107"/>
      <c r="D24" s="107"/>
      <c r="E24" s="107"/>
      <c r="F24" s="107"/>
      <c r="G24" s="107"/>
      <c r="H24" s="107"/>
      <c r="I24" s="107"/>
    </row>
    <row r="25" spans="1:9" ht="18" customHeight="1">
      <c r="A25" s="19">
        <f>DATA!C28</f>
      </c>
      <c r="B25" s="107"/>
      <c r="C25" s="107"/>
      <c r="D25" s="107"/>
      <c r="E25" s="107"/>
      <c r="F25" s="107"/>
      <c r="G25" s="107"/>
      <c r="H25" s="107"/>
      <c r="I25" s="107"/>
    </row>
    <row r="26" spans="1:9" ht="18" customHeight="1">
      <c r="A26" s="19">
        <f>DATA!C29</f>
      </c>
      <c r="B26" s="107"/>
      <c r="C26" s="107"/>
      <c r="D26" s="107"/>
      <c r="E26" s="107"/>
      <c r="F26" s="107"/>
      <c r="G26" s="107"/>
      <c r="H26" s="107"/>
      <c r="I26" s="107"/>
    </row>
    <row r="27" spans="1:9" ht="18" customHeight="1">
      <c r="A27" s="19">
        <f>DATA!C30</f>
      </c>
      <c r="B27" s="107"/>
      <c r="C27" s="107"/>
      <c r="D27" s="107"/>
      <c r="E27" s="107"/>
      <c r="F27" s="107"/>
      <c r="G27" s="107"/>
      <c r="H27" s="107"/>
      <c r="I27" s="107"/>
    </row>
    <row r="28" spans="1:9" ht="27" customHeight="1">
      <c r="A28" s="22" t="s">
        <v>13</v>
      </c>
      <c r="B28" s="29">
        <f>SUM(B4:B27)</f>
        <v>3000</v>
      </c>
      <c r="C28" s="29">
        <f aca="true" t="shared" si="0" ref="C28:I28">SUM(C4:C27)</f>
        <v>400</v>
      </c>
      <c r="D28" s="29">
        <f t="shared" si="0"/>
        <v>222</v>
      </c>
      <c r="E28" s="29">
        <f t="shared" si="0"/>
        <v>332</v>
      </c>
      <c r="F28" s="29">
        <f t="shared" si="0"/>
        <v>0</v>
      </c>
      <c r="G28" s="29">
        <f t="shared" si="0"/>
        <v>400</v>
      </c>
      <c r="H28" s="29">
        <f t="shared" si="0"/>
        <v>0</v>
      </c>
      <c r="I28" s="29">
        <f t="shared" si="0"/>
        <v>0</v>
      </c>
    </row>
    <row r="29" spans="1:9" ht="27" customHeight="1">
      <c r="A29" s="21" t="s">
        <v>37</v>
      </c>
      <c r="B29" s="28">
        <f>B28+B3</f>
        <v>3600</v>
      </c>
      <c r="C29" s="28">
        <f aca="true" t="shared" si="1" ref="C29:I29">C28+C3</f>
        <v>854</v>
      </c>
      <c r="D29" s="28">
        <f t="shared" si="1"/>
        <v>454</v>
      </c>
      <c r="E29" s="28">
        <f t="shared" si="1"/>
        <v>364</v>
      </c>
      <c r="F29" s="28">
        <f t="shared" si="1"/>
        <v>333</v>
      </c>
      <c r="G29" s="28">
        <f t="shared" si="1"/>
        <v>423</v>
      </c>
      <c r="H29" s="28">
        <f t="shared" si="1"/>
        <v>400</v>
      </c>
      <c r="I29" s="28">
        <f t="shared" si="1"/>
        <v>0</v>
      </c>
    </row>
    <row r="30" ht="18" customHeight="1">
      <c r="A30" s="18"/>
    </row>
    <row r="31" ht="18" customHeight="1">
      <c r="A31" s="18"/>
    </row>
    <row r="32" ht="18" customHeight="1">
      <c r="A32" s="18"/>
    </row>
    <row r="33" ht="18" customHeight="1">
      <c r="A33" s="18"/>
    </row>
    <row r="34" ht="18" customHeight="1">
      <c r="A34" s="18"/>
    </row>
  </sheetData>
  <sheetProtection/>
  <mergeCells count="1">
    <mergeCell ref="A1:I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P49"/>
  <sheetViews>
    <sheetView zoomScalePageLayoutView="0" workbookViewId="0" topLeftCell="A19">
      <selection activeCell="AB42" sqref="AB42"/>
    </sheetView>
  </sheetViews>
  <sheetFormatPr defaultColWidth="9.140625" defaultRowHeight="18" customHeight="1"/>
  <cols>
    <col min="1" max="1" width="8.28125" style="1" customWidth="1"/>
    <col min="2" max="2" width="3.57421875" style="1" customWidth="1"/>
    <col min="3" max="3" width="4.57421875" style="1" customWidth="1"/>
    <col min="4" max="4" width="4.421875" style="1" customWidth="1"/>
    <col min="5" max="5" width="5.00390625" style="1" customWidth="1"/>
    <col min="6" max="6" width="4.8515625" style="1" customWidth="1"/>
    <col min="7" max="7" width="4.7109375" style="1" customWidth="1"/>
    <col min="8" max="8" width="4.28125" style="1" customWidth="1"/>
    <col min="9" max="9" width="4.57421875" style="1" customWidth="1"/>
    <col min="10" max="10" width="4.28125" style="1" customWidth="1"/>
    <col min="11" max="11" width="4.57421875" style="1" customWidth="1"/>
    <col min="12" max="13" width="4.28125" style="1" customWidth="1"/>
    <col min="14" max="14" width="5.28125" style="1" customWidth="1"/>
    <col min="15" max="15" width="4.7109375" style="1" customWidth="1"/>
    <col min="16" max="17" width="4.28125" style="1" customWidth="1"/>
    <col min="18" max="18" width="4.57421875" style="1" customWidth="1"/>
    <col min="19" max="19" width="4.28125" style="1" customWidth="1"/>
    <col min="20" max="20" width="4.7109375" style="1" customWidth="1"/>
    <col min="21" max="21" width="4.28125" style="1" customWidth="1"/>
    <col min="22" max="22" width="2.28125" style="1" customWidth="1"/>
    <col min="23" max="23" width="6.28125" style="1" customWidth="1"/>
    <col min="24" max="24" width="8.421875" style="118" customWidth="1"/>
    <col min="25" max="25" width="8.421875" style="144" customWidth="1"/>
    <col min="26" max="26" width="1.7109375" style="1" customWidth="1"/>
    <col min="27" max="28" width="4.7109375" style="157" customWidth="1"/>
    <col min="29" max="29" width="2.421875" style="157" customWidth="1"/>
    <col min="30" max="33" width="4.7109375" style="1" customWidth="1"/>
    <col min="34" max="35" width="8.8515625" style="1" customWidth="1"/>
    <col min="36" max="37" width="8.8515625" style="1" hidden="1" customWidth="1"/>
    <col min="38" max="38" width="9.28125" style="1" hidden="1" customWidth="1"/>
    <col min="39" max="47" width="0" style="1" hidden="1" customWidth="1"/>
    <col min="48" max="52" width="8.8515625" style="1" customWidth="1"/>
    <col min="53" max="54" width="5.00390625" style="1" customWidth="1"/>
    <col min="55" max="55" width="10.28125" style="1" bestFit="1" customWidth="1"/>
    <col min="56" max="56" width="9.28125" style="1" bestFit="1" customWidth="1"/>
    <col min="57" max="58" width="8.8515625" style="1" customWidth="1"/>
    <col min="59" max="59" width="10.28125" style="1" bestFit="1" customWidth="1"/>
    <col min="60" max="60" width="8.8515625" style="1" customWidth="1"/>
    <col min="61" max="61" width="9.28125" style="190" bestFit="1" customWidth="1"/>
    <col min="62" max="16384" width="8.8515625" style="1" customWidth="1"/>
  </cols>
  <sheetData>
    <row r="1" spans="1:21" ht="18" customHeight="1">
      <c r="A1" s="234" t="s">
        <v>0</v>
      </c>
      <c r="B1" s="234"/>
      <c r="C1" s="234"/>
      <c r="D1" s="234"/>
      <c r="E1" s="234"/>
      <c r="F1" s="234"/>
      <c r="G1" s="234"/>
      <c r="H1" s="234"/>
      <c r="I1" s="234"/>
      <c r="J1" s="234"/>
      <c r="K1" s="234"/>
      <c r="L1" s="234"/>
      <c r="M1" s="234"/>
      <c r="N1" s="234"/>
      <c r="O1" s="234"/>
      <c r="P1" s="234"/>
      <c r="Q1" s="234"/>
      <c r="R1" s="234"/>
      <c r="S1" s="234"/>
      <c r="T1" s="234"/>
      <c r="U1" s="234"/>
    </row>
    <row r="2" spans="1:21" ht="18" customHeight="1">
      <c r="A2" s="234" t="s">
        <v>1</v>
      </c>
      <c r="B2" s="234"/>
      <c r="C2" s="234"/>
      <c r="D2" s="234"/>
      <c r="E2" s="234"/>
      <c r="F2" s="234"/>
      <c r="G2" s="234"/>
      <c r="H2" s="234"/>
      <c r="I2" s="234"/>
      <c r="J2" s="234"/>
      <c r="K2" s="234"/>
      <c r="L2" s="234"/>
      <c r="M2" s="234"/>
      <c r="N2" s="234"/>
      <c r="O2" s="234"/>
      <c r="P2" s="234"/>
      <c r="Q2" s="234"/>
      <c r="R2" s="234"/>
      <c r="S2" s="234"/>
      <c r="T2" s="234"/>
      <c r="U2" s="234"/>
    </row>
    <row r="3" spans="15:25" ht="18" customHeight="1">
      <c r="O3" s="289" t="s">
        <v>38</v>
      </c>
      <c r="P3" s="289"/>
      <c r="Q3" s="289"/>
      <c r="R3" s="294" t="str">
        <f>CONCATENATE(DATA!L3," ",DATA!O3)</f>
        <v>September 2010</v>
      </c>
      <c r="S3" s="294"/>
      <c r="T3" s="294"/>
      <c r="U3" s="294"/>
      <c r="W3" s="25"/>
      <c r="X3" s="25"/>
      <c r="Y3" s="25"/>
    </row>
    <row r="4" spans="1:11" ht="18" customHeight="1">
      <c r="A4" s="295" t="s">
        <v>136</v>
      </c>
      <c r="B4" s="295"/>
      <c r="C4" s="295"/>
      <c r="D4" s="296" t="str">
        <f>DATA!K33</f>
        <v>S.S.H.S.S. Moorkanad</v>
      </c>
      <c r="E4" s="296"/>
      <c r="F4" s="296"/>
      <c r="G4" s="296"/>
      <c r="H4" s="296"/>
      <c r="I4" s="296"/>
      <c r="J4" s="296"/>
      <c r="K4" s="296"/>
    </row>
    <row r="5" spans="1:21" ht="24" customHeight="1">
      <c r="A5" s="289"/>
      <c r="B5" s="289"/>
      <c r="C5" s="289"/>
      <c r="D5" s="289"/>
      <c r="E5" s="4" t="s">
        <v>6</v>
      </c>
      <c r="F5" s="3" t="s">
        <v>7</v>
      </c>
      <c r="G5" s="3" t="s">
        <v>8</v>
      </c>
      <c r="H5" s="7" t="s">
        <v>10</v>
      </c>
      <c r="I5" s="293" t="s">
        <v>9</v>
      </c>
      <c r="J5" s="293"/>
      <c r="O5" s="290" t="s">
        <v>22</v>
      </c>
      <c r="P5" s="290"/>
      <c r="Q5" s="289" t="s">
        <v>6</v>
      </c>
      <c r="R5" s="289"/>
      <c r="S5" s="289"/>
      <c r="T5" s="289"/>
      <c r="U5" s="289"/>
    </row>
    <row r="6" spans="1:21" ht="18" customHeight="1">
      <c r="A6" s="289" t="s">
        <v>2</v>
      </c>
      <c r="B6" s="289"/>
      <c r="C6" s="289"/>
      <c r="D6" s="289"/>
      <c r="E6" s="198"/>
      <c r="F6" s="199">
        <f>SUMIF(DATA!$DG$4:$GH$4,"&lt;6",DATA!$D$6:$CE$6)</f>
        <v>1209</v>
      </c>
      <c r="G6" s="198">
        <f>SUMIF(DATA!$DG$4:$GH$4,"&gt;5",DATA!$D$6:$CE$6)</f>
        <v>672</v>
      </c>
      <c r="H6" s="198"/>
      <c r="I6" s="292">
        <f>SUM(E6:H6)</f>
        <v>1881</v>
      </c>
      <c r="J6" s="292"/>
      <c r="O6" s="290" t="s">
        <v>19</v>
      </c>
      <c r="P6" s="290"/>
      <c r="Q6" s="289" t="s">
        <v>23</v>
      </c>
      <c r="R6" s="289"/>
      <c r="S6" s="289"/>
      <c r="T6" s="289"/>
      <c r="U6" s="289"/>
    </row>
    <row r="7" spans="1:21" ht="18" customHeight="1">
      <c r="A7" s="288" t="s">
        <v>3</v>
      </c>
      <c r="B7" s="288"/>
      <c r="C7" s="288"/>
      <c r="D7" s="288"/>
      <c r="E7" s="198"/>
      <c r="F7" s="199">
        <f>F6</f>
        <v>1209</v>
      </c>
      <c r="G7" s="198">
        <f>G6</f>
        <v>672</v>
      </c>
      <c r="H7" s="198"/>
      <c r="I7" s="292">
        <f>SUM(E7:H7)</f>
        <v>1881</v>
      </c>
      <c r="J7" s="292"/>
      <c r="O7" s="290" t="s">
        <v>16</v>
      </c>
      <c r="P7" s="290"/>
      <c r="Q7" s="289" t="s">
        <v>24</v>
      </c>
      <c r="R7" s="289"/>
      <c r="S7" s="289"/>
      <c r="T7" s="289"/>
      <c r="U7" s="289"/>
    </row>
    <row r="8" spans="1:21" ht="18" customHeight="1">
      <c r="A8" s="289" t="s">
        <v>4</v>
      </c>
      <c r="B8" s="289"/>
      <c r="C8" s="289"/>
      <c r="D8" s="289"/>
      <c r="E8" s="198"/>
      <c r="F8" s="199">
        <f>SUMIF(DATA!$DG$4:$GH$4,"&lt;6",DATA!$D$31:$CE$31)</f>
        <v>17746</v>
      </c>
      <c r="G8" s="195">
        <f>SUMIF(DATA!$DG$4:$GH$4,"&gt;5",DATA!$D$31:$CE$31)</f>
        <v>9856</v>
      </c>
      <c r="H8" s="198"/>
      <c r="I8" s="292">
        <f>SUM(E8:H8)</f>
        <v>27602</v>
      </c>
      <c r="J8" s="292"/>
      <c r="O8" s="290" t="s">
        <v>17</v>
      </c>
      <c r="P8" s="290"/>
      <c r="Q8" s="289" t="s">
        <v>25</v>
      </c>
      <c r="R8" s="289"/>
      <c r="S8" s="289"/>
      <c r="T8" s="289"/>
      <c r="U8" s="289"/>
    </row>
    <row r="9" spans="1:21" ht="18" customHeight="1">
      <c r="A9" s="290" t="s">
        <v>5</v>
      </c>
      <c r="B9" s="290"/>
      <c r="C9" s="290"/>
      <c r="D9" s="290"/>
      <c r="E9" s="198"/>
      <c r="F9" s="198">
        <f>DATA!$J$3</f>
        <v>15</v>
      </c>
      <c r="G9" s="198">
        <f>DATA!$J$3</f>
        <v>15</v>
      </c>
      <c r="H9" s="198"/>
      <c r="I9" s="292">
        <f>G9</f>
        <v>15</v>
      </c>
      <c r="J9" s="292"/>
      <c r="O9" s="290" t="s">
        <v>20</v>
      </c>
      <c r="P9" s="290"/>
      <c r="Q9" s="289" t="s">
        <v>26</v>
      </c>
      <c r="R9" s="289"/>
      <c r="S9" s="289"/>
      <c r="T9" s="289"/>
      <c r="U9" s="289"/>
    </row>
    <row r="10" spans="15:21" ht="18" customHeight="1">
      <c r="O10" s="290" t="s">
        <v>21</v>
      </c>
      <c r="P10" s="290"/>
      <c r="Q10" s="289" t="s">
        <v>27</v>
      </c>
      <c r="R10" s="289"/>
      <c r="S10" s="289"/>
      <c r="T10" s="289"/>
      <c r="U10" s="289"/>
    </row>
    <row r="11" spans="1:21" ht="18" customHeight="1">
      <c r="A11" s="291" t="s">
        <v>11</v>
      </c>
      <c r="B11" s="291"/>
      <c r="C11" s="291"/>
      <c r="D11" s="291"/>
      <c r="O11" s="290" t="s">
        <v>115</v>
      </c>
      <c r="P11" s="290"/>
      <c r="Q11" s="289" t="s">
        <v>15</v>
      </c>
      <c r="R11" s="289"/>
      <c r="S11" s="289"/>
      <c r="T11" s="289"/>
      <c r="U11" s="289"/>
    </row>
    <row r="12" spans="1:12" ht="22.5" customHeight="1">
      <c r="A12" s="289"/>
      <c r="B12" s="289"/>
      <c r="C12" s="289"/>
      <c r="D12" s="289"/>
      <c r="E12" s="24" t="s">
        <v>14</v>
      </c>
      <c r="F12" s="4" t="s">
        <v>15</v>
      </c>
      <c r="G12" s="24" t="s">
        <v>16</v>
      </c>
      <c r="H12" s="24" t="s">
        <v>17</v>
      </c>
      <c r="I12" s="23" t="s">
        <v>18</v>
      </c>
      <c r="J12" s="24" t="s">
        <v>19</v>
      </c>
      <c r="K12" s="24" t="s">
        <v>20</v>
      </c>
      <c r="L12" s="24" t="s">
        <v>21</v>
      </c>
    </row>
    <row r="13" spans="1:30" ht="18" customHeight="1">
      <c r="A13" s="289" t="s">
        <v>12</v>
      </c>
      <c r="B13" s="289"/>
      <c r="C13" s="289"/>
      <c r="D13" s="289"/>
      <c r="E13" s="200">
        <f>STOCK!B3</f>
        <v>600</v>
      </c>
      <c r="F13" s="200">
        <f>STOCK!C3</f>
        <v>454</v>
      </c>
      <c r="G13" s="200">
        <f>STOCK!D3</f>
        <v>232</v>
      </c>
      <c r="H13" s="200">
        <f>STOCK!E3</f>
        <v>32</v>
      </c>
      <c r="I13" s="200">
        <f>STOCK!F3</f>
        <v>333</v>
      </c>
      <c r="J13" s="200">
        <f>STOCK!G3</f>
        <v>23</v>
      </c>
      <c r="K13" s="200">
        <f>STOCK!H3</f>
        <v>400</v>
      </c>
      <c r="L13" s="200">
        <f>STOCK!I3</f>
        <v>0</v>
      </c>
      <c r="AD13" s="5"/>
    </row>
    <row r="14" spans="1:56" ht="18" customHeight="1">
      <c r="A14" s="290" t="s">
        <v>13</v>
      </c>
      <c r="B14" s="290"/>
      <c r="C14" s="290"/>
      <c r="D14" s="290"/>
      <c r="E14" s="200">
        <f>STOCK!B28</f>
        <v>3000</v>
      </c>
      <c r="F14" s="200">
        <f>STOCK!C28</f>
        <v>400</v>
      </c>
      <c r="G14" s="200">
        <f>STOCK!D28</f>
        <v>222</v>
      </c>
      <c r="H14" s="200">
        <f>STOCK!E28</f>
        <v>332</v>
      </c>
      <c r="I14" s="200">
        <f>STOCK!F28</f>
        <v>0</v>
      </c>
      <c r="J14" s="200">
        <f>STOCK!G28</f>
        <v>400</v>
      </c>
      <c r="K14" s="200">
        <f>STOCK!H28</f>
        <v>0</v>
      </c>
      <c r="L14" s="200">
        <f>STOCK!I28</f>
        <v>0</v>
      </c>
      <c r="AD14" s="5"/>
      <c r="BA14" s="309" t="s">
        <v>189</v>
      </c>
      <c r="BB14" s="310"/>
      <c r="BC14" s="311"/>
      <c r="BD14" s="121">
        <f>SUBTOTAL(2,BC19:BC42)</f>
        <v>7</v>
      </c>
    </row>
    <row r="15" spans="1:57" ht="18" customHeight="1">
      <c r="A15" s="289" t="s">
        <v>9</v>
      </c>
      <c r="B15" s="289"/>
      <c r="C15" s="289"/>
      <c r="D15" s="289"/>
      <c r="E15" s="200">
        <f>STOCK!B29</f>
        <v>3600</v>
      </c>
      <c r="F15" s="200">
        <f>STOCK!C29</f>
        <v>854</v>
      </c>
      <c r="G15" s="200">
        <f>STOCK!D29</f>
        <v>454</v>
      </c>
      <c r="H15" s="200">
        <f>STOCK!E29</f>
        <v>364</v>
      </c>
      <c r="I15" s="200">
        <f>STOCK!F29</f>
        <v>333</v>
      </c>
      <c r="J15" s="200">
        <f>STOCK!G29</f>
        <v>423</v>
      </c>
      <c r="K15" s="200">
        <f>STOCK!H29</f>
        <v>400</v>
      </c>
      <c r="L15" s="200">
        <f>STOCK!I29</f>
        <v>0</v>
      </c>
      <c r="AD15" s="5"/>
      <c r="AN15" s="147" t="s">
        <v>99</v>
      </c>
      <c r="AO15" s="124" t="s">
        <v>115</v>
      </c>
      <c r="AP15" s="99" t="s">
        <v>16</v>
      </c>
      <c r="AQ15" s="99" t="s">
        <v>17</v>
      </c>
      <c r="AR15" s="100" t="s">
        <v>18</v>
      </c>
      <c r="AS15" s="99" t="s">
        <v>19</v>
      </c>
      <c r="AT15" s="99" t="s">
        <v>20</v>
      </c>
      <c r="AU15" s="99" t="s">
        <v>21</v>
      </c>
      <c r="BA15" s="308" t="s">
        <v>99</v>
      </c>
      <c r="BB15" s="308"/>
      <c r="BC15" s="308"/>
      <c r="BD15" s="181" t="s">
        <v>190</v>
      </c>
      <c r="BE15" s="181" t="s">
        <v>191</v>
      </c>
    </row>
    <row r="16" spans="1:94" ht="18" customHeight="1">
      <c r="A16" s="305" t="s">
        <v>28</v>
      </c>
      <c r="B16" s="305"/>
      <c r="C16" s="305"/>
      <c r="D16" s="305"/>
      <c r="AD16" s="302" t="s">
        <v>118</v>
      </c>
      <c r="AE16" s="302"/>
      <c r="AF16" s="302"/>
      <c r="AG16" s="302"/>
      <c r="AN16" s="148" t="s">
        <v>7</v>
      </c>
      <c r="AO16" s="145">
        <f>DATA!AF34</f>
        <v>0.03</v>
      </c>
      <c r="AP16" s="145">
        <f>DATA!AH34</f>
        <v>0.03</v>
      </c>
      <c r="AQ16" s="145">
        <f>DATA!AJ34</f>
        <v>0.03</v>
      </c>
      <c r="AR16" s="145">
        <f>DATA!AL34</f>
        <v>0.03</v>
      </c>
      <c r="AS16" s="145">
        <f>DATA!AN34</f>
        <v>0.03</v>
      </c>
      <c r="AT16" s="145">
        <f>DATA!AO34</f>
        <v>0</v>
      </c>
      <c r="AU16" s="145">
        <f>DATA!AP34</f>
        <v>0.03</v>
      </c>
      <c r="BA16" s="308" t="s">
        <v>119</v>
      </c>
      <c r="BB16" s="308"/>
      <c r="BC16" s="308"/>
      <c r="BD16" s="121">
        <f>SUBTOTAL(2,BA19:BA42)</f>
        <v>2</v>
      </c>
      <c r="BE16" s="121">
        <f>SUBTOTAL(2,BB19:BB42)</f>
        <v>5</v>
      </c>
      <c r="CO16" s="180"/>
      <c r="CP16" s="180"/>
    </row>
    <row r="17" spans="1:63" ht="18" customHeight="1">
      <c r="A17" s="304" t="s">
        <v>30</v>
      </c>
      <c r="B17" s="304"/>
      <c r="C17" s="304"/>
      <c r="D17" s="304"/>
      <c r="E17" s="304"/>
      <c r="F17" s="266" t="s">
        <v>61</v>
      </c>
      <c r="G17" s="266"/>
      <c r="H17" s="266"/>
      <c r="I17" s="266"/>
      <c r="J17" s="266"/>
      <c r="K17" s="266"/>
      <c r="L17" s="266"/>
      <c r="M17" s="266"/>
      <c r="N17" s="299" t="s">
        <v>62</v>
      </c>
      <c r="O17" s="299"/>
      <c r="P17" s="299"/>
      <c r="Q17" s="299"/>
      <c r="R17" s="299"/>
      <c r="S17" s="299"/>
      <c r="T17" s="299"/>
      <c r="U17" s="299"/>
      <c r="W17" s="298" t="s">
        <v>99</v>
      </c>
      <c r="X17" s="298" t="s">
        <v>128</v>
      </c>
      <c r="Y17" s="297" t="s">
        <v>144</v>
      </c>
      <c r="AA17" s="306" t="s">
        <v>187</v>
      </c>
      <c r="AB17" s="306" t="s">
        <v>188</v>
      </c>
      <c r="AD17" s="303" t="s">
        <v>116</v>
      </c>
      <c r="AE17" s="303" t="s">
        <v>117</v>
      </c>
      <c r="AF17" s="303" t="s">
        <v>119</v>
      </c>
      <c r="AG17" s="301" t="s">
        <v>127</v>
      </c>
      <c r="AN17" s="148" t="s">
        <v>8</v>
      </c>
      <c r="AO17" s="145">
        <f>DATA!AF35</f>
        <v>0.05</v>
      </c>
      <c r="AP17" s="145">
        <f>DATA!AH35</f>
        <v>0.05</v>
      </c>
      <c r="AQ17" s="145">
        <f>DATA!AJ35</f>
        <v>0.05</v>
      </c>
      <c r="AR17" s="145">
        <f>DATA!AL35</f>
        <v>0.05</v>
      </c>
      <c r="AS17" s="145">
        <f>DATA!AN35</f>
        <v>0.05</v>
      </c>
      <c r="AT17" s="145">
        <f>DATA!AO35</f>
        <v>0</v>
      </c>
      <c r="AU17" s="145">
        <f>DATA!AP35</f>
        <v>0.05</v>
      </c>
      <c r="BA17" s="306" t="s">
        <v>187</v>
      </c>
      <c r="BB17" s="306" t="s">
        <v>188</v>
      </c>
      <c r="BC17" s="308" t="s">
        <v>29</v>
      </c>
      <c r="BD17" s="312" t="s">
        <v>192</v>
      </c>
      <c r="BE17" s="312" t="s">
        <v>195</v>
      </c>
      <c r="BF17" s="312" t="s">
        <v>32</v>
      </c>
      <c r="BG17" s="312" t="s">
        <v>29</v>
      </c>
      <c r="BH17" s="307" t="s">
        <v>199</v>
      </c>
      <c r="BI17" s="307" t="s">
        <v>200</v>
      </c>
      <c r="BJ17" s="307" t="s">
        <v>193</v>
      </c>
      <c r="BK17" s="307" t="s">
        <v>194</v>
      </c>
    </row>
    <row r="18" spans="1:69" ht="24.75" customHeight="1">
      <c r="A18" s="2" t="s">
        <v>29</v>
      </c>
      <c r="B18" s="90" t="s">
        <v>6</v>
      </c>
      <c r="C18" s="3" t="s">
        <v>7</v>
      </c>
      <c r="D18" s="3" t="s">
        <v>8</v>
      </c>
      <c r="E18" s="3" t="s">
        <v>9</v>
      </c>
      <c r="F18" s="99" t="s">
        <v>14</v>
      </c>
      <c r="G18" s="124" t="s">
        <v>115</v>
      </c>
      <c r="H18" s="99" t="s">
        <v>16</v>
      </c>
      <c r="I18" s="99" t="s">
        <v>17</v>
      </c>
      <c r="J18" s="100" t="s">
        <v>18</v>
      </c>
      <c r="K18" s="99" t="s">
        <v>19</v>
      </c>
      <c r="L18" s="99" t="s">
        <v>20</v>
      </c>
      <c r="M18" s="99" t="s">
        <v>21</v>
      </c>
      <c r="N18" s="91" t="str">
        <f>F18</f>
        <v>Rice</v>
      </c>
      <c r="O18" s="91" t="str">
        <f aca="true" t="shared" si="0" ref="O18:U18">G18</f>
        <v>GG</v>
      </c>
      <c r="P18" s="91" t="str">
        <f t="shared" si="0"/>
        <v>BGB</v>
      </c>
      <c r="Q18" s="91" t="str">
        <f t="shared" si="0"/>
        <v>BGS</v>
      </c>
      <c r="R18" s="91" t="str">
        <f t="shared" si="0"/>
        <v>Lobia</v>
      </c>
      <c r="S18" s="91" t="str">
        <f t="shared" si="0"/>
        <v>PD</v>
      </c>
      <c r="T18" s="91" t="str">
        <f t="shared" si="0"/>
        <v>TD</v>
      </c>
      <c r="U18" s="91" t="str">
        <f t="shared" si="0"/>
        <v>GGD</v>
      </c>
      <c r="W18" s="298"/>
      <c r="X18" s="298"/>
      <c r="Y18" s="297"/>
      <c r="AA18" s="306"/>
      <c r="AB18" s="306"/>
      <c r="AD18" s="303"/>
      <c r="AE18" s="303"/>
      <c r="AF18" s="303"/>
      <c r="AG18" s="301"/>
      <c r="AJ18" s="123" t="s">
        <v>129</v>
      </c>
      <c r="AK18" s="120" t="s">
        <v>130</v>
      </c>
      <c r="AL18" s="145" t="s">
        <v>145</v>
      </c>
      <c r="BA18" s="306"/>
      <c r="BB18" s="306"/>
      <c r="BC18" s="308"/>
      <c r="BD18" s="313"/>
      <c r="BE18" s="313"/>
      <c r="BF18" s="313"/>
      <c r="BG18" s="313"/>
      <c r="BH18" s="307"/>
      <c r="BI18" s="307"/>
      <c r="BJ18" s="307"/>
      <c r="BK18" s="307"/>
      <c r="BO18" s="183" t="s">
        <v>192</v>
      </c>
      <c r="BP18" s="184" t="s">
        <v>190</v>
      </c>
      <c r="BQ18" s="184" t="s">
        <v>191</v>
      </c>
    </row>
    <row r="19" spans="1:69" ht="15.75" customHeight="1">
      <c r="A19" s="16">
        <f>DATA!C7</f>
        <v>40422</v>
      </c>
      <c r="B19" s="196"/>
      <c r="C19" s="201">
        <f>IF(A19="","",SUMIF(DATA!$DG$4:$GH$4,"&lt;6",DATA!$D7:$CE7))</f>
        <v>1178</v>
      </c>
      <c r="D19" s="201">
        <f>IF(A19="","",SUMIF(DATA!$DG$4:$GH$4,"&gt;5",DATA!$D7:$CE7))</f>
        <v>654</v>
      </c>
      <c r="E19" s="196">
        <f>IF(A19="","",SUM(B19:D19))</f>
        <v>1832</v>
      </c>
      <c r="F19" s="202">
        <f>IF($A19="","",IF($E$15&gt;0,C19*DATA!$AD$34+D19*DATA!$AD$35,""))</f>
        <v>215.9</v>
      </c>
      <c r="G19" s="202">
        <f>IF($A19="","",IF(W19=$G$18,C19*DATA!$AF$34+D19*DATA!$AF$35,""))</f>
      </c>
      <c r="H19" s="202">
        <f>IF($A19="","",IF($W19=$H$18,C19*DATA!$AH$34+D19*DATA!$AH$35,""))</f>
      </c>
      <c r="I19" s="202">
        <f>IF($A19="","",IF($W19=$I$18,C19*DATA!$AJ$34+D19*DATA!$AJ$35,""))</f>
      </c>
      <c r="J19" s="202">
        <f>IF($A19="","",IF($W19=$J$18,C19*DATA!$AL$34+D19*DATA!$AL$35,""))</f>
      </c>
      <c r="K19" s="202">
        <f>IF($A19="","",IF($W19=$K$18,C19*DATA!AN34+$D$19*DATA!$AN$35,""))</f>
      </c>
      <c r="L19" s="202">
        <f>IF($A19="","",IF($W19=$L$18,C19*DATA!$AP$34+D19*DATA!$AP$35,""))</f>
        <v>68.03999999999999</v>
      </c>
      <c r="M19" s="202">
        <f>IF($A19="","",IF($W19=$M$18,C19*DATA!$AR$34+D19*DATA!$AR$35,""))</f>
      </c>
      <c r="N19" s="203">
        <f>IF(A19="","",$E$13+SUM(STOCK!$B$4:B4)-SUM($F$19:F19))</f>
        <v>384.1</v>
      </c>
      <c r="O19" s="203">
        <f>IF(A19="","",$F$13+SUM(STOCK!$C$4:C4)-SUM($G$19:G19))</f>
        <v>454</v>
      </c>
      <c r="P19" s="203">
        <f>IF(A19="","",$G$13+SUM(STOCK!$D$4:D4)-SUM($H$19:H19))</f>
        <v>232</v>
      </c>
      <c r="Q19" s="203">
        <f>IF(A19="","",$H$13+SUM(STOCK!$E$4:E4)-SUM($I$19:I19))</f>
        <v>32</v>
      </c>
      <c r="R19" s="203">
        <f>IF(A19="","",$I$13+SUM(STOCK!$F$4:F4)-SUM($J$19:J19))</f>
        <v>333</v>
      </c>
      <c r="S19" s="203">
        <f>IF(A19="","",$J$13+SUM(STOCK!$G$4:G4)-SUM($K$19:K19))</f>
        <v>23</v>
      </c>
      <c r="T19" s="203">
        <f>IF(A19="","",$K$13+SUM(STOCK!$H$4:H4)-SUM($L$19:L19))</f>
        <v>331.96000000000004</v>
      </c>
      <c r="U19" s="203">
        <f>IF(A19="","",$L$13+SUM(STOCK!$I$4:I4)-SUM($M$19:M19))</f>
        <v>0</v>
      </c>
      <c r="W19" s="189" t="s">
        <v>20</v>
      </c>
      <c r="X19" s="122">
        <f>IF(AK19&lt;0,"No Stock",AK19)</f>
        <v>331.96000000000004</v>
      </c>
      <c r="Y19" s="122">
        <f>IF(W19="","",IF(AL19-X19&lt;0,"",AL19-X19))</f>
      </c>
      <c r="AA19" s="108"/>
      <c r="AB19" s="108">
        <v>1</v>
      </c>
      <c r="AD19" s="101" t="s">
        <v>14</v>
      </c>
      <c r="AE19" s="102">
        <f>$F$7*DATA!$AD$34+$G$7*DATA!$AD$35</f>
        <v>221.7</v>
      </c>
      <c r="AF19" s="103">
        <f>FLOOR(E15/AE19,1)</f>
        <v>16</v>
      </c>
      <c r="AG19" s="301"/>
      <c r="AJ19" s="117">
        <v>1</v>
      </c>
      <c r="AK19" s="121">
        <f>IF(W19="","",INDEX($N$19:$U$42,AJ19,MATCH(W19,$N$18:$U$18,0)))</f>
        <v>331.96000000000004</v>
      </c>
      <c r="AL19" s="145">
        <f>IF(W19="","",AN19*C19+D19*AO19)</f>
        <v>0</v>
      </c>
      <c r="AM19" s="1">
        <f>IF(W19="","",MATCH(W19,$AO$15:$AU$15,0))</f>
        <v>6</v>
      </c>
      <c r="AN19" s="1">
        <f>IF(W19="","",INDEX($AO$16:$AU$16,1,AM19))</f>
        <v>0</v>
      </c>
      <c r="AO19" s="1">
        <f>IF(W19="","",INDEX($AO$17:$AU$17,1,AM19))</f>
        <v>0</v>
      </c>
      <c r="BA19" s="185">
        <f>IF(AA19="","",SUM($AA$19:AA19))</f>
      </c>
      <c r="BB19" s="185">
        <f>IF(AB19="","",SUM($AB$19:AB19))</f>
        <v>1</v>
      </c>
      <c r="BC19" s="177">
        <f>IF(OR(BA19&lt;&gt;"",BB19&lt;&gt;""),A19,"")</f>
        <v>40422</v>
      </c>
      <c r="BD19" s="159">
        <f>IF(BE19="","",SUM($BE$19:BE19))</f>
        <v>1</v>
      </c>
      <c r="BE19" s="159">
        <f aca="true" t="shared" si="1" ref="BE19:BE42">IF(BC19="","",1)</f>
        <v>1</v>
      </c>
      <c r="BF19" s="1">
        <v>1</v>
      </c>
      <c r="BG19" s="178">
        <f>IF(BD14=0,"",INDEX($BC$19:$BC$42,MATCH(BF19,$BD$19:$BD$42,0),1))</f>
        <v>40422</v>
      </c>
      <c r="BH19" s="1">
        <f>IF(BO19="","",INDEX($C$19:$C$42,BO19,1))</f>
        <v>1178</v>
      </c>
      <c r="BI19" s="190">
        <f>IF(BO19="","",INDEX($D$19:$D$42,BO19,1))</f>
        <v>654</v>
      </c>
      <c r="BJ19" s="1">
        <f>IF(BQ19="","",(BH19*DATA!$AT$34+BI19*DATA!$AT$35))</f>
        <v>274.79999999999995</v>
      </c>
      <c r="BK19" s="1">
        <f>IF(BP19="","",BH19*DATA!$AV$34+BI19*DATA!$AV$35)</f>
      </c>
      <c r="BO19" s="184">
        <f aca="true" t="shared" si="2" ref="BO19:BO34">IF(BF19="","",MATCH(BF19,$BD$19:$BD$42,0))</f>
        <v>1</v>
      </c>
      <c r="BP19" s="184">
        <f aca="true" t="shared" si="3" ref="BP19:BP34">IF(BF19="","",INDEX($BA$19:$BA$42,BO19,1))</f>
      </c>
      <c r="BQ19" s="184">
        <f aca="true" t="shared" si="4" ref="BQ19:BQ34">IF(BG19="","",INDEX($BB$19:$BB$42,BO19,1))</f>
        <v>1</v>
      </c>
    </row>
    <row r="20" spans="1:69" ht="15.75" customHeight="1">
      <c r="A20" s="16">
        <f>DATA!C8</f>
        <v>40424</v>
      </c>
      <c r="B20" s="196"/>
      <c r="C20" s="201">
        <f>IF(A20="","",SUMIF(DATA!$DG$4:$GH$4,"&lt;6",DATA!$D8:$CE8))</f>
        <v>1177</v>
      </c>
      <c r="D20" s="201">
        <f>IF(A20="","",SUMIF(DATA!$DG$4:$GH$4,"&gt;5",DATA!$D8:$CE8))</f>
        <v>658</v>
      </c>
      <c r="E20" s="196">
        <f aca="true" t="shared" si="5" ref="E20:E42">IF(A20="","",SUM(B20:D20))</f>
        <v>1835</v>
      </c>
      <c r="F20" s="202">
        <f>IF($A20="","",IF($E$15&gt;0,C20*DATA!$AD$34+D20*DATA!$AD$35,""))</f>
        <v>216.4</v>
      </c>
      <c r="G20" s="202">
        <f>IF($A20="","",IF(W20=$G$18,C20*DATA!$AF$34+D20*DATA!$AF$35,""))</f>
      </c>
      <c r="H20" s="202">
        <f>IF($A20="","",IF($W20=$H$18,C20*DATA!$AH$34+D20*DATA!$AH$35,""))</f>
      </c>
      <c r="I20" s="202">
        <f>IF($A20="","",IF($W20=$I$18,C20*DATA!$AJ$34+D20*DATA!$AJ$35,""))</f>
      </c>
      <c r="J20" s="202">
        <f>IF($A20="","",IF($W20=$J$18,C20*DATA!$AL$34+D20*DATA!$AL$35,""))</f>
        <v>68.21</v>
      </c>
      <c r="K20" s="202">
        <f>IF($A20="","",IF($W20=$K$18,C20*DATA!AN35+$D$19*DATA!$AN$35,""))</f>
      </c>
      <c r="L20" s="202">
        <f>IF($A20="","",IF($W20=$L$18,C20*DATA!$AP$34+D20*DATA!$AP$35,""))</f>
      </c>
      <c r="M20" s="202">
        <f>IF($A20="","",IF($W20=$M$18,C20*DATA!$AR$34+D20*DATA!$AR$35,""))</f>
      </c>
      <c r="N20" s="203">
        <f>IF(A20="","",$E$13+SUM(STOCK!$B$4:B5)-SUM($F$19:F20))</f>
        <v>167.7</v>
      </c>
      <c r="O20" s="203">
        <f>IF(A20="","",$F$13+SUM(STOCK!$C$4:C5)-SUM($G$19:G20))</f>
        <v>454</v>
      </c>
      <c r="P20" s="203">
        <f>IF(A20="","",$G$13+SUM(STOCK!$D$4:D5)-SUM($H$19:H20))</f>
        <v>232</v>
      </c>
      <c r="Q20" s="203">
        <f>IF(A20="","",$H$13+SUM(STOCK!$E$4:E5)-SUM($I$19:I20))</f>
        <v>32</v>
      </c>
      <c r="R20" s="203">
        <f>IF(A20="","",$I$13+SUM(STOCK!$F$4:F5)-SUM($J$19:J20))</f>
        <v>264.79</v>
      </c>
      <c r="S20" s="203">
        <f>IF(A20="","",$J$13+SUM(STOCK!$G$4:G5)-SUM($K$19:K20))</f>
        <v>423</v>
      </c>
      <c r="T20" s="203">
        <f>IF(A20="","",$K$13+SUM(STOCK!$H$4:H5)-SUM($L$19:L20))</f>
        <v>331.96000000000004</v>
      </c>
      <c r="U20" s="203">
        <f>IF(A20="","",$L$13+SUM(STOCK!$I$4:I5)-SUM($M$19:M20))</f>
        <v>0</v>
      </c>
      <c r="W20" s="189" t="s">
        <v>18</v>
      </c>
      <c r="X20" s="122">
        <f aca="true" t="shared" si="6" ref="X20:X42">IF(AK20&lt;0,"No Stock",AK20)</f>
        <v>264.79</v>
      </c>
      <c r="Y20" s="122">
        <f aca="true" t="shared" si="7" ref="Y20:Y42">IF(W20="","",IF(AL20-X20&lt;0,"",AL20-X20))</f>
      </c>
      <c r="AA20" s="108"/>
      <c r="AB20" s="108"/>
      <c r="AD20" s="104" t="s">
        <v>115</v>
      </c>
      <c r="AE20" s="102">
        <f>$F$7*DATA!$AF$34+$G$7*DATA!$AF$35</f>
        <v>69.87</v>
      </c>
      <c r="AF20" s="105">
        <f>FLOOR(F15/AE20,1)</f>
        <v>12</v>
      </c>
      <c r="AG20" s="119">
        <f>AF20-COUNTIF($W$19:$W$42,AD20)</f>
        <v>11</v>
      </c>
      <c r="AJ20" s="117">
        <v>2</v>
      </c>
      <c r="AK20" s="121">
        <f aca="true" t="shared" si="8" ref="AK20:AK42">IF(W20="","",INDEX($N$19:$U$42,AJ20,MATCH(W20,$N$18:$U$18,0)))</f>
        <v>264.79</v>
      </c>
      <c r="AL20" s="145">
        <f aca="true" t="shared" si="9" ref="AL20:AL42">IF(W20="","",AN20*C20+D20*AO20)</f>
        <v>68.21</v>
      </c>
      <c r="AM20" s="144">
        <f aca="true" t="shared" si="10" ref="AM20:AM42">IF(W20="","",MATCH(W20,$AO$15:$AU$15,0))</f>
        <v>4</v>
      </c>
      <c r="AN20" s="144">
        <f aca="true" t="shared" si="11" ref="AN20:AN42">IF(W20="","",INDEX($AO$16:$AU$16,1,AM20))</f>
        <v>0.03</v>
      </c>
      <c r="AO20" s="144">
        <f aca="true" t="shared" si="12" ref="AO20:AO42">IF(W20="","",INDEX($AO$17:$AU$17,1,AM20))</f>
        <v>0.05</v>
      </c>
      <c r="BA20" s="185">
        <f>IF(AA20="","",SUM($AA$19:AA20))</f>
      </c>
      <c r="BB20" s="185">
        <f>IF(AB20="","",SUM($AB$19:AB20))</f>
      </c>
      <c r="BC20" s="177">
        <f aca="true" t="shared" si="13" ref="BC20:BC42">IF(OR(BA20&lt;&gt;"",BB20&lt;&gt;""),A20,"")</f>
      </c>
      <c r="BD20" s="159">
        <f>IF(BE20="","",SUM($BE$19:BE20))</f>
      </c>
      <c r="BE20" s="159">
        <f t="shared" si="1"/>
      </c>
      <c r="BF20" s="1">
        <f aca="true" t="shared" si="14" ref="BF20:BF42">IF(BF19&lt;$BD$14,BF19+1,"")</f>
        <v>2</v>
      </c>
      <c r="BG20" s="178">
        <f aca="true" t="shared" si="15" ref="BG20:BG42">INDEX($BC$19:$BC$42,MATCH(BF20,$BD$19:$BD$42,0),1)</f>
        <v>40425</v>
      </c>
      <c r="BH20" s="190">
        <f aca="true" t="shared" si="16" ref="BH20:BH42">IF(BO20="","",INDEX($C$19:$C$42,BO20,1))</f>
        <v>1182</v>
      </c>
      <c r="BI20" s="190">
        <f aca="true" t="shared" si="17" ref="BI20:BI42">IF(BO20="","",INDEX($D$19:$D$42,BO20,1))</f>
        <v>658</v>
      </c>
      <c r="BJ20" s="190">
        <f>IF(BQ20="","",(BH20*DATA!$AT$34+BI20*DATA!$AT$35))</f>
        <v>276</v>
      </c>
      <c r="BK20" s="190">
        <f>IF(BP20="","",BH20*DATA!$AV$34+BI20*DATA!$AV$35)</f>
      </c>
      <c r="BO20" s="184">
        <f t="shared" si="2"/>
        <v>3</v>
      </c>
      <c r="BP20" s="184">
        <f t="shared" si="3"/>
      </c>
      <c r="BQ20" s="184">
        <f t="shared" si="4"/>
        <v>2</v>
      </c>
    </row>
    <row r="21" spans="1:69" ht="15.75" customHeight="1">
      <c r="A21" s="16">
        <f>DATA!C9</f>
        <v>40425</v>
      </c>
      <c r="B21" s="196"/>
      <c r="C21" s="201">
        <f>IF(A21="","",SUMIF(DATA!$DG$4:$GH$4,"&lt;6",DATA!$D9:$CE9))</f>
        <v>1182</v>
      </c>
      <c r="D21" s="201">
        <f>IF(A21="","",SUMIF(DATA!$DG$4:$GH$4,"&gt;5",DATA!$D9:$CE9))</f>
        <v>658</v>
      </c>
      <c r="E21" s="196">
        <f t="shared" si="5"/>
        <v>1840</v>
      </c>
      <c r="F21" s="202">
        <f>IF($A21="","",IF($E$15&gt;0,C21*DATA!$AD$34+D21*DATA!$AD$35,""))</f>
        <v>216.9</v>
      </c>
      <c r="G21" s="202">
        <f>IF($A21="","",IF(W21=$G$18,C21*DATA!$AF$34+D21*DATA!$AF$35,""))</f>
      </c>
      <c r="H21" s="202">
        <f>IF($A21="","",IF($W21=$H$18,C21*DATA!$AH$34+D21*DATA!$AH$35,""))</f>
      </c>
      <c r="I21" s="202">
        <f>IF($A21="","",IF($W21=$I$18,C21*DATA!$AJ$34+D21*DATA!$AJ$35,""))</f>
      </c>
      <c r="J21" s="202">
        <f>IF($A21="","",IF($W21=$J$18,C21*DATA!$AL$34+D21*DATA!$AL$35,""))</f>
      </c>
      <c r="K21" s="202">
        <f>IF($A21="","",IF($W21=$K$18,C21*DATA!AN36+$D$19*DATA!$AN$35,""))</f>
      </c>
      <c r="L21" s="202">
        <f>IF($A21="","",IF($W21=$L$18,C21*DATA!$AP$34+D21*DATA!$AP$35,""))</f>
      </c>
      <c r="M21" s="202">
        <f>IF($A21="","",IF($W21=$M$18,C21*DATA!$AR$34+D21*DATA!$AR$35,""))</f>
      </c>
      <c r="N21" s="203">
        <f>IF(A21="","",$E$13+SUM(STOCK!$B$4:B6)-SUM($F$19:F21))</f>
        <v>450.79999999999995</v>
      </c>
      <c r="O21" s="203">
        <f>IF(A21="","",$F$13+SUM(STOCK!$C$4:C6)-SUM($G$19:G21))</f>
        <v>854</v>
      </c>
      <c r="P21" s="203">
        <f>IF(A21="","",$G$13+SUM(STOCK!$D$4:D6)-SUM($H$19:H21))</f>
        <v>454</v>
      </c>
      <c r="Q21" s="203">
        <f>IF(A21="","",$H$13+SUM(STOCK!$E$4:E6)-SUM($I$19:I21))</f>
        <v>364</v>
      </c>
      <c r="R21" s="203">
        <f>IF(A21="","",$I$13+SUM(STOCK!$F$4:F6)-SUM($J$19:J21))</f>
        <v>264.79</v>
      </c>
      <c r="S21" s="203">
        <f>IF(A21="","",$J$13+SUM(STOCK!$G$4:G6)-SUM($K$19:K21))</f>
        <v>423</v>
      </c>
      <c r="T21" s="203">
        <f>IF(A21="","",$K$13+SUM(STOCK!$H$4:H6)-SUM($L$19:L21))</f>
        <v>331.96000000000004</v>
      </c>
      <c r="U21" s="203">
        <f>IF(A21="","",$L$13+SUM(STOCK!$I$4:I6)-SUM($M$19:M21))</f>
        <v>0</v>
      </c>
      <c r="W21" s="108"/>
      <c r="X21" s="122">
        <f t="shared" si="6"/>
      </c>
      <c r="Y21" s="122">
        <f t="shared" si="7"/>
      </c>
      <c r="AA21" s="108"/>
      <c r="AB21" s="108">
        <v>1</v>
      </c>
      <c r="AD21" s="97" t="s">
        <v>16</v>
      </c>
      <c r="AE21" s="102">
        <f>$F$7*DATA!$AH$34+$G$7*DATA!$AH$35</f>
        <v>69.87</v>
      </c>
      <c r="AF21" s="105">
        <f>FLOOR(G15/AE21,1)</f>
        <v>6</v>
      </c>
      <c r="AG21" s="119">
        <f aca="true" t="shared" si="18" ref="AG21:AG26">AF21-COUNTIF($W$19:$W$42,AD21)</f>
        <v>6</v>
      </c>
      <c r="AJ21" s="117">
        <v>3</v>
      </c>
      <c r="AK21" s="121">
        <f t="shared" si="8"/>
      </c>
      <c r="AL21" s="145">
        <f t="shared" si="9"/>
      </c>
      <c r="AM21" s="144">
        <f t="shared" si="10"/>
      </c>
      <c r="AN21" s="144">
        <f t="shared" si="11"/>
      </c>
      <c r="AO21" s="144">
        <f t="shared" si="12"/>
      </c>
      <c r="BA21" s="185">
        <f>IF(AA21="","",SUM($AA$19:AA21))</f>
      </c>
      <c r="BB21" s="185">
        <f>IF(AB21="","",SUM($AB$19:AB21))</f>
        <v>2</v>
      </c>
      <c r="BC21" s="177">
        <f t="shared" si="13"/>
        <v>40425</v>
      </c>
      <c r="BD21" s="159">
        <f>IF(BE21="","",SUM($BE$19:BE21))</f>
        <v>2</v>
      </c>
      <c r="BE21" s="159">
        <f t="shared" si="1"/>
        <v>1</v>
      </c>
      <c r="BF21" s="157">
        <f t="shared" si="14"/>
        <v>3</v>
      </c>
      <c r="BG21" s="178">
        <f t="shared" si="15"/>
        <v>40432</v>
      </c>
      <c r="BH21" s="190">
        <f t="shared" si="16"/>
        <v>1182</v>
      </c>
      <c r="BI21" s="190">
        <f t="shared" si="17"/>
        <v>654</v>
      </c>
      <c r="BJ21" s="190">
        <f>IF(BQ21="","",(BH21*DATA!$AT$34+BI21*DATA!$AT$35))</f>
        <v>275.4</v>
      </c>
      <c r="BK21" s="190">
        <f>IF(BP21="","",BH21*DATA!$AV$34+BI21*DATA!$AV$35)</f>
      </c>
      <c r="BO21" s="184">
        <f t="shared" si="2"/>
        <v>7</v>
      </c>
      <c r="BP21" s="184">
        <f t="shared" si="3"/>
      </c>
      <c r="BQ21" s="184">
        <f t="shared" si="4"/>
        <v>3</v>
      </c>
    </row>
    <row r="22" spans="1:69" ht="15.75" customHeight="1">
      <c r="A22" s="16">
        <f>DATA!C10</f>
        <v>40426</v>
      </c>
      <c r="B22" s="196"/>
      <c r="C22" s="201">
        <f>IF(A22="","",SUMIF(DATA!$DG$4:$GH$4,"&lt;6",DATA!$D10:$CE10))</f>
        <v>1185</v>
      </c>
      <c r="D22" s="201">
        <f>IF(A22="","",SUMIF(DATA!$DG$4:$GH$4,"&gt;5",DATA!$D10:$CE10))</f>
        <v>656</v>
      </c>
      <c r="E22" s="196">
        <f t="shared" si="5"/>
        <v>1841</v>
      </c>
      <c r="F22" s="202">
        <f>IF($A22="","",IF($E$15&gt;0,C22*DATA!$AD$34+D22*DATA!$AD$35,""))</f>
        <v>216.89999999999998</v>
      </c>
      <c r="G22" s="202">
        <f>IF($A22="","",IF(W22=$G$18,C22*DATA!$AF$34+D22*DATA!$AF$35,""))</f>
      </c>
      <c r="H22" s="202">
        <f>IF($A22="","",IF($W22=$H$18,C22*DATA!$AH$34+D22*DATA!$AH$35,""))</f>
      </c>
      <c r="I22" s="202">
        <f>IF($A22="","",IF($W22=$I$18,C22*DATA!$AJ$34+D22*DATA!$AJ$35,""))</f>
      </c>
      <c r="J22" s="202">
        <f>IF($A22="","",IF($W22=$J$18,C22*DATA!$AL$34+D22*DATA!$AL$35,""))</f>
      </c>
      <c r="K22" s="202">
        <f>IF($A22="","",IF($W22=$K$18,C22*DATA!AN37+$D$19*DATA!$AN$35,""))</f>
      </c>
      <c r="L22" s="202">
        <f>IF($A22="","",IF($W22=$L$18,C22*DATA!$AP$34+D22*DATA!$AP$35,""))</f>
      </c>
      <c r="M22" s="202">
        <f>IF($A22="","",IF($W22=$M$18,C22*DATA!$AR$34+D22*DATA!$AR$35,""))</f>
      </c>
      <c r="N22" s="203">
        <f>IF(A22="","",$E$13+SUM(STOCK!$B$4:B7)-SUM($F$19:F22))</f>
        <v>233.89999999999998</v>
      </c>
      <c r="O22" s="203">
        <f>IF(A22="","",$F$13+SUM(STOCK!$C$4:C7)-SUM($G$19:G22))</f>
        <v>854</v>
      </c>
      <c r="P22" s="203">
        <f>IF(A22="","",$G$13+SUM(STOCK!$D$4:D7)-SUM($H$19:H22))</f>
        <v>454</v>
      </c>
      <c r="Q22" s="203">
        <f>IF(A22="","",$H$13+SUM(STOCK!$E$4:E7)-SUM($I$19:I22))</f>
        <v>364</v>
      </c>
      <c r="R22" s="203">
        <f>IF(A22="","",$I$13+SUM(STOCK!$F$4:F7)-SUM($J$19:J22))</f>
        <v>264.79</v>
      </c>
      <c r="S22" s="203">
        <f>IF(A22="","",$J$13+SUM(STOCK!$G$4:G7)-SUM($K$19:K22))</f>
        <v>423</v>
      </c>
      <c r="T22" s="203">
        <f>IF(A22="","",$K$13+SUM(STOCK!$H$4:H7)-SUM($L$19:L22))</f>
        <v>331.96000000000004</v>
      </c>
      <c r="U22" s="203">
        <f>IF(A22="","",$L$13+SUM(STOCK!$I$4:I7)-SUM($M$19:M22))</f>
        <v>0</v>
      </c>
      <c r="W22" s="108"/>
      <c r="X22" s="122">
        <f t="shared" si="6"/>
      </c>
      <c r="Y22" s="122">
        <f t="shared" si="7"/>
      </c>
      <c r="AA22" s="108"/>
      <c r="AB22" s="108"/>
      <c r="AD22" s="97" t="s">
        <v>17</v>
      </c>
      <c r="AE22" s="102">
        <f>$F$7*DATA!$AJ$34+$G$7*DATA!$AJ$35</f>
        <v>69.87</v>
      </c>
      <c r="AF22" s="105">
        <f>FLOOR(H15/AE22,1)</f>
        <v>5</v>
      </c>
      <c r="AG22" s="119">
        <f t="shared" si="18"/>
        <v>5</v>
      </c>
      <c r="AJ22" s="117">
        <v>4</v>
      </c>
      <c r="AK22" s="121">
        <f t="shared" si="8"/>
      </c>
      <c r="AL22" s="145">
        <f t="shared" si="9"/>
      </c>
      <c r="AM22" s="144">
        <f t="shared" si="10"/>
      </c>
      <c r="AN22" s="144">
        <f t="shared" si="11"/>
      </c>
      <c r="AO22" s="144">
        <f t="shared" si="12"/>
      </c>
      <c r="BA22" s="185">
        <f>IF(AA22="","",SUM($AA$19:AA22))</f>
      </c>
      <c r="BB22" s="185">
        <f>IF(AB22="","",SUM($AB$19:AB22))</f>
      </c>
      <c r="BC22" s="177">
        <f t="shared" si="13"/>
      </c>
      <c r="BD22" s="159">
        <f>IF(BE22="","",SUM($BE$19:BE22))</f>
      </c>
      <c r="BE22" s="159">
        <f t="shared" si="1"/>
      </c>
      <c r="BF22" s="157">
        <f t="shared" si="14"/>
        <v>4</v>
      </c>
      <c r="BG22" s="178">
        <f t="shared" si="15"/>
        <v>40437</v>
      </c>
      <c r="BH22" s="190">
        <f t="shared" si="16"/>
        <v>1186</v>
      </c>
      <c r="BI22" s="190">
        <f t="shared" si="17"/>
        <v>660</v>
      </c>
      <c r="BJ22" s="190">
        <f>IF(BQ22="","",(BH22*DATA!$AT$34+BI22*DATA!$AT$35))</f>
      </c>
      <c r="BK22" s="190">
        <f>IF(BP22="","",BH22*DATA!$AV$34+BI22*DATA!$AV$35)</f>
        <v>1186</v>
      </c>
      <c r="BO22" s="184">
        <f t="shared" si="2"/>
        <v>9</v>
      </c>
      <c r="BP22" s="184">
        <f t="shared" si="3"/>
        <v>1</v>
      </c>
      <c r="BQ22" s="184">
        <f t="shared" si="4"/>
      </c>
    </row>
    <row r="23" spans="1:69" ht="15.75" customHeight="1">
      <c r="A23" s="16">
        <f>DATA!C11</f>
        <v>40427</v>
      </c>
      <c r="B23" s="196"/>
      <c r="C23" s="201">
        <f>IF(A23="","",SUMIF(DATA!$DG$4:$GH$4,"&lt;6",DATA!$D11:$CE11))</f>
        <v>1183</v>
      </c>
      <c r="D23" s="201">
        <f>IF(A23="","",SUMIF(DATA!$DG$4:$GH$4,"&gt;5",DATA!$D11:$CE11))</f>
        <v>659</v>
      </c>
      <c r="E23" s="196">
        <f t="shared" si="5"/>
        <v>1842</v>
      </c>
      <c r="F23" s="202">
        <f>IF($A23="","",IF($E$15&gt;0,C23*DATA!$AD$34+D23*DATA!$AD$35,""))</f>
        <v>217.15</v>
      </c>
      <c r="G23" s="202">
        <f>IF($A23="","",IF(W23=$G$18,C23*DATA!$AF$34+D23*DATA!$AF$35,""))</f>
        <v>68.44</v>
      </c>
      <c r="H23" s="202">
        <f>IF($A23="","",IF($W23=$H$18,C23*DATA!$AH$34+D23*DATA!$AH$35,""))</f>
      </c>
      <c r="I23" s="202">
        <f>IF($A23="","",IF($W23=$I$18,C23*DATA!$AJ$34+D23*DATA!$AJ$35,""))</f>
      </c>
      <c r="J23" s="202">
        <f>IF($A23="","",IF($W23=$J$18,C23*DATA!$AL$34+D23*DATA!$AL$35,""))</f>
      </c>
      <c r="K23" s="202">
        <f>IF($A23="","",IF($W23=$K$18,C23*DATA!AN38+$D$19*DATA!$AN$35,""))</f>
      </c>
      <c r="L23" s="202">
        <f>IF($A23="","",IF($W23=$L$18,C23*DATA!$AP$34+D23*DATA!$AP$35,""))</f>
      </c>
      <c r="M23" s="202">
        <f>IF($A23="","",IF($W23=$M$18,C23*DATA!$AR$34+D23*DATA!$AR$35,""))</f>
      </c>
      <c r="N23" s="203">
        <f>IF(A23="","",$E$13+SUM(STOCK!$B$4:B8)-SUM($F$19:F23))</f>
        <v>16.75</v>
      </c>
      <c r="O23" s="203">
        <f>IF(A23="","",$F$13+SUM(STOCK!$C$4:C8)-SUM($G$19:G23))</f>
        <v>785.56</v>
      </c>
      <c r="P23" s="203">
        <f>IF(A23="","",$G$13+SUM(STOCK!$D$4:D8)-SUM($H$19:H23))</f>
        <v>454</v>
      </c>
      <c r="Q23" s="203">
        <f>IF(A23="","",$H$13+SUM(STOCK!$E$4:E8)-SUM($I$19:I23))</f>
        <v>364</v>
      </c>
      <c r="R23" s="203">
        <f>IF(A23="","",$I$13+SUM(STOCK!$F$4:F8)-SUM($J$19:J23))</f>
        <v>264.79</v>
      </c>
      <c r="S23" s="203">
        <f>IF(A23="","",$J$13+SUM(STOCK!$G$4:G8)-SUM($K$19:K23))</f>
        <v>423</v>
      </c>
      <c r="T23" s="203">
        <f>IF(A23="","",$K$13+SUM(STOCK!$H$4:H8)-SUM($L$19:L23))</f>
        <v>331.96000000000004</v>
      </c>
      <c r="U23" s="203">
        <f>IF(A23="","",$L$13+SUM(STOCK!$I$4:I8)-SUM($M$19:M23))</f>
        <v>0</v>
      </c>
      <c r="W23" s="189" t="s">
        <v>198</v>
      </c>
      <c r="X23" s="122">
        <f t="shared" si="6"/>
        <v>785.56</v>
      </c>
      <c r="Y23" s="122">
        <f t="shared" si="7"/>
      </c>
      <c r="AA23" s="108"/>
      <c r="AB23" s="108"/>
      <c r="AD23" s="98" t="s">
        <v>18</v>
      </c>
      <c r="AE23" s="102">
        <f>$F$7*DATA!$AL$34+$G$7*DATA!$AL$35</f>
        <v>69.87</v>
      </c>
      <c r="AF23" s="105">
        <f>FLOOR(I15/AE23,1)</f>
        <v>4</v>
      </c>
      <c r="AG23" s="119">
        <f t="shared" si="18"/>
        <v>3</v>
      </c>
      <c r="AJ23" s="117">
        <v>5</v>
      </c>
      <c r="AK23" s="121">
        <f t="shared" si="8"/>
        <v>785.56</v>
      </c>
      <c r="AL23" s="145">
        <f t="shared" si="9"/>
        <v>68.44</v>
      </c>
      <c r="AM23" s="144">
        <f t="shared" si="10"/>
        <v>1</v>
      </c>
      <c r="AN23" s="144">
        <f t="shared" si="11"/>
        <v>0.03</v>
      </c>
      <c r="AO23" s="144">
        <f t="shared" si="12"/>
        <v>0.05</v>
      </c>
      <c r="BA23" s="185">
        <f>IF(AA23="","",SUM($AA$19:AA23))</f>
      </c>
      <c r="BB23" s="185">
        <f>IF(AB23="","",SUM($AB$19:AB23))</f>
      </c>
      <c r="BC23" s="177">
        <f t="shared" si="13"/>
      </c>
      <c r="BD23" s="159">
        <f>IF(BE23="","",SUM($BE$19:BE23))</f>
      </c>
      <c r="BE23" s="159">
        <f t="shared" si="1"/>
      </c>
      <c r="BF23" s="157">
        <f t="shared" si="14"/>
        <v>5</v>
      </c>
      <c r="BG23" s="178">
        <f t="shared" si="15"/>
        <v>40439</v>
      </c>
      <c r="BH23" s="190">
        <f t="shared" si="16"/>
        <v>1180</v>
      </c>
      <c r="BI23" s="190">
        <f t="shared" si="17"/>
        <v>657</v>
      </c>
      <c r="BJ23" s="190">
        <f>IF(BQ23="","",(BH23*DATA!$AT$34+BI23*DATA!$AT$35))</f>
        <v>275.55</v>
      </c>
      <c r="BK23" s="190">
        <f>IF(BP23="","",BH23*DATA!$AV$34+BI23*DATA!$AV$35)</f>
      </c>
      <c r="BO23" s="184">
        <f t="shared" si="2"/>
        <v>11</v>
      </c>
      <c r="BP23" s="184">
        <f t="shared" si="3"/>
      </c>
      <c r="BQ23" s="184">
        <f t="shared" si="4"/>
        <v>4</v>
      </c>
    </row>
    <row r="24" spans="1:69" ht="15.75" customHeight="1">
      <c r="A24" s="16">
        <f>DATA!C12</f>
        <v>40431</v>
      </c>
      <c r="B24" s="196"/>
      <c r="C24" s="201">
        <f>IF(A24="","",SUMIF(DATA!$DG$4:$GH$4,"&lt;6",DATA!$D12:$CE12))</f>
        <v>1189</v>
      </c>
      <c r="D24" s="201">
        <f>IF(A24="","",SUMIF(DATA!$DG$4:$GH$4,"&gt;5",DATA!$D12:$CE12))</f>
        <v>656</v>
      </c>
      <c r="E24" s="196">
        <f t="shared" si="5"/>
        <v>1845</v>
      </c>
      <c r="F24" s="202">
        <f>IF($A24="","",IF($E$15&gt;0,C24*DATA!$AD$34+D24*DATA!$AD$35,""))</f>
        <v>217.3</v>
      </c>
      <c r="G24" s="202">
        <f>IF($A24="","",IF(W24=$G$18,C24*DATA!$AF$34+D24*DATA!$AF$35,""))</f>
      </c>
      <c r="H24" s="202">
        <f>IF($A24="","",IF($W24=$H$18,C24*DATA!$AH$34+D24*DATA!$AH$35,""))</f>
      </c>
      <c r="I24" s="202">
        <f>IF($A24="","",IF($W24=$I$18,C24*DATA!$AJ$34+D24*DATA!$AJ$35,""))</f>
      </c>
      <c r="J24" s="202">
        <f>IF($A24="","",IF($W24=$J$18,C24*DATA!$AL$34+D24*DATA!$AL$35,""))</f>
      </c>
      <c r="K24" s="202">
        <f>IF($A24="","",IF($W24=$K$18,C24*DATA!AN39+$D$19*DATA!$AN$35,""))</f>
      </c>
      <c r="L24" s="202">
        <f>IF($A24="","",IF($W24=$L$18,C24*DATA!$AP$34+D24*DATA!$AP$35,""))</f>
      </c>
      <c r="M24" s="202">
        <f>IF($A24="","",IF($W24=$M$18,C24*DATA!$AR$34+D24*DATA!$AR$35,""))</f>
      </c>
      <c r="N24" s="203">
        <f>IF(A24="","",$E$13+SUM(STOCK!$B$4:B9)-SUM($F$19:F24))</f>
        <v>299.45000000000005</v>
      </c>
      <c r="O24" s="203">
        <f>IF(A24="","",$F$13+SUM(STOCK!$C$4:C9)-SUM($G$19:G24))</f>
        <v>785.56</v>
      </c>
      <c r="P24" s="203">
        <f>IF(A24="","",$G$13+SUM(STOCK!$D$4:D9)-SUM($H$19:H24))</f>
        <v>454</v>
      </c>
      <c r="Q24" s="203">
        <f>IF(A24="","",$H$13+SUM(STOCK!$E$4:E9)-SUM($I$19:I24))</f>
        <v>364</v>
      </c>
      <c r="R24" s="203">
        <f>IF(A24="","",$I$13+SUM(STOCK!$F$4:F9)-SUM($J$19:J24))</f>
        <v>264.79</v>
      </c>
      <c r="S24" s="203">
        <f>IF(A24="","",$J$13+SUM(STOCK!$G$4:G9)-SUM($K$19:K24))</f>
        <v>423</v>
      </c>
      <c r="T24" s="203">
        <f>IF(A24="","",$K$13+SUM(STOCK!$H$4:H9)-SUM($L$19:L24))</f>
        <v>331.96000000000004</v>
      </c>
      <c r="U24" s="203">
        <f>IF(A24="","",$L$13+SUM(STOCK!$I$4:I9)-SUM($M$19:M24))</f>
        <v>0</v>
      </c>
      <c r="W24" s="108"/>
      <c r="X24" s="122">
        <f t="shared" si="6"/>
      </c>
      <c r="Y24" s="122">
        <f t="shared" si="7"/>
      </c>
      <c r="AA24" s="108"/>
      <c r="AB24" s="108"/>
      <c r="AD24" s="97" t="s">
        <v>19</v>
      </c>
      <c r="AE24" s="102">
        <f>$F$7*DATA!$AN$34+$G$7*DATA!$AN$35</f>
        <v>69.87</v>
      </c>
      <c r="AF24" s="105">
        <f>FLOOR(J15/AE24,1)</f>
        <v>6</v>
      </c>
      <c r="AG24" s="119">
        <f t="shared" si="18"/>
        <v>6</v>
      </c>
      <c r="AJ24" s="117">
        <v>6</v>
      </c>
      <c r="AK24" s="121">
        <f t="shared" si="8"/>
      </c>
      <c r="AL24" s="145">
        <f t="shared" si="9"/>
      </c>
      <c r="AM24" s="144">
        <f t="shared" si="10"/>
      </c>
      <c r="AN24" s="144">
        <f t="shared" si="11"/>
      </c>
      <c r="AO24" s="144">
        <f t="shared" si="12"/>
      </c>
      <c r="BA24" s="185">
        <f>IF(AA24="","",SUM($AA$19:AA24))</f>
      </c>
      <c r="BB24" s="185">
        <f>IF(AB24="","",SUM($AB$19:AB24))</f>
      </c>
      <c r="BC24" s="177">
        <f t="shared" si="13"/>
      </c>
      <c r="BD24" s="159">
        <f>IF(BE24="","",SUM($BE$19:BE24))</f>
      </c>
      <c r="BE24" s="159">
        <f t="shared" si="1"/>
      </c>
      <c r="BF24" s="157">
        <f t="shared" si="14"/>
        <v>6</v>
      </c>
      <c r="BG24" s="178">
        <f t="shared" si="15"/>
        <v>40441</v>
      </c>
      <c r="BH24" s="190">
        <f t="shared" si="16"/>
        <v>1183</v>
      </c>
      <c r="BI24" s="190">
        <f t="shared" si="17"/>
        <v>657</v>
      </c>
      <c r="BJ24" s="190">
        <f>IF(BQ24="","",(BH24*DATA!$AT$34+BI24*DATA!$AT$35))</f>
      </c>
      <c r="BK24" s="190">
        <f>IF(BP24="","",BH24*DATA!$AV$34+BI24*DATA!$AV$35)</f>
        <v>1183</v>
      </c>
      <c r="BO24" s="184">
        <f t="shared" si="2"/>
        <v>13</v>
      </c>
      <c r="BP24" s="184">
        <f t="shared" si="3"/>
        <v>2</v>
      </c>
      <c r="BQ24" s="184">
        <f t="shared" si="4"/>
      </c>
    </row>
    <row r="25" spans="1:69" ht="15.75" customHeight="1">
      <c r="A25" s="16">
        <f>DATA!C13</f>
        <v>40432</v>
      </c>
      <c r="B25" s="196"/>
      <c r="C25" s="201">
        <f>IF(A25="","",SUMIF(DATA!$DG$4:$GH$4,"&lt;6",DATA!$D13:$CE13))</f>
        <v>1182</v>
      </c>
      <c r="D25" s="201">
        <f>IF(A25="","",SUMIF(DATA!$DG$4:$GH$4,"&gt;5",DATA!$D13:$CE13))</f>
        <v>654</v>
      </c>
      <c r="E25" s="196">
        <f t="shared" si="5"/>
        <v>1836</v>
      </c>
      <c r="F25" s="202">
        <f>IF($A25="","",IF($E$15&gt;0,C25*DATA!$AD$34+D25*DATA!$AD$35,""))</f>
        <v>216.3</v>
      </c>
      <c r="G25" s="202">
        <f>IF($A25="","",IF(W25=$G$18,C25*DATA!$AF$34+D25*DATA!$AF$35,""))</f>
      </c>
      <c r="H25" s="202">
        <f>IF($A25="","",IF($W25=$H$18,C25*DATA!$AH$34+D25*DATA!$AH$35,""))</f>
      </c>
      <c r="I25" s="202">
        <f>IF($A25="","",IF($W25=$I$18,C25*DATA!$AJ$34+D25*DATA!$AJ$35,""))</f>
      </c>
      <c r="J25" s="202">
        <f>IF($A25="","",IF($W25=$J$18,C25*DATA!$AL$34+D25*DATA!$AL$35,""))</f>
      </c>
      <c r="K25" s="202">
        <f>IF($A25="","",IF($W25=$K$18,C25*DATA!AN40+$D$19*DATA!$AN$35,""))</f>
      </c>
      <c r="L25" s="202">
        <f>IF($A25="","",IF($W25=$L$18,C25*DATA!$AP$34+D25*DATA!$AP$35,""))</f>
      </c>
      <c r="M25" s="202">
        <f>IF($A25="","",IF($W25=$M$18,C25*DATA!$AR$34+D25*DATA!$AR$35,""))</f>
      </c>
      <c r="N25" s="203">
        <f>IF(A25="","",$E$13+SUM(STOCK!$B$4:B10)-SUM($F$19:F25))</f>
        <v>2083.15</v>
      </c>
      <c r="O25" s="203">
        <f>IF(A25="","",$F$13+SUM(STOCK!$C$4:C10)-SUM($G$19:G25))</f>
        <v>785.56</v>
      </c>
      <c r="P25" s="203">
        <f>IF(A25="","",$G$13+SUM(STOCK!$D$4:D10)-SUM($H$19:H25))</f>
        <v>454</v>
      </c>
      <c r="Q25" s="203">
        <f>IF(A25="","",$H$13+SUM(STOCK!$E$4:E10)-SUM($I$19:I25))</f>
        <v>364</v>
      </c>
      <c r="R25" s="203">
        <f>IF(A25="","",$I$13+SUM(STOCK!$F$4:F10)-SUM($J$19:J25))</f>
        <v>264.79</v>
      </c>
      <c r="S25" s="203">
        <f>IF(A25="","",$J$13+SUM(STOCK!$G$4:G10)-SUM($K$19:K25))</f>
        <v>423</v>
      </c>
      <c r="T25" s="203">
        <f>IF(A25="","",$K$13+SUM(STOCK!$H$4:H10)-SUM($L$19:L25))</f>
        <v>331.96000000000004</v>
      </c>
      <c r="U25" s="203">
        <f>IF(A25="","",$L$13+SUM(STOCK!$I$4:I10)-SUM($M$19:M25))</f>
        <v>0</v>
      </c>
      <c r="W25" s="108"/>
      <c r="X25" s="122">
        <f t="shared" si="6"/>
      </c>
      <c r="Y25" s="122">
        <f t="shared" si="7"/>
      </c>
      <c r="AA25" s="108"/>
      <c r="AB25" s="108">
        <v>1</v>
      </c>
      <c r="AD25" s="97" t="s">
        <v>20</v>
      </c>
      <c r="AE25" s="102">
        <f>$F$7*DATA!$AO$34+$G$7*DATA!$AO$35</f>
        <v>0</v>
      </c>
      <c r="AF25" s="105" t="e">
        <f>FLOOR(K15/AE25,1)</f>
        <v>#DIV/0!</v>
      </c>
      <c r="AG25" s="119" t="e">
        <f t="shared" si="18"/>
        <v>#DIV/0!</v>
      </c>
      <c r="AJ25" s="117">
        <v>7</v>
      </c>
      <c r="AK25" s="121">
        <f t="shared" si="8"/>
      </c>
      <c r="AL25" s="145">
        <f t="shared" si="9"/>
      </c>
      <c r="AM25" s="144">
        <f t="shared" si="10"/>
      </c>
      <c r="AN25" s="144">
        <f t="shared" si="11"/>
      </c>
      <c r="AO25" s="144">
        <f t="shared" si="12"/>
      </c>
      <c r="BA25" s="185">
        <f>IF(AA25="","",SUM($AA$19:AA25))</f>
      </c>
      <c r="BB25" s="185">
        <f>IF(AB25="","",SUM($AB$19:AB25))</f>
        <v>3</v>
      </c>
      <c r="BC25" s="177">
        <f t="shared" si="13"/>
        <v>40432</v>
      </c>
      <c r="BD25" s="159">
        <f>IF(BE25="","",SUM($BE$19:BE25))</f>
        <v>3</v>
      </c>
      <c r="BE25" s="159">
        <f t="shared" si="1"/>
        <v>1</v>
      </c>
      <c r="BF25" s="157">
        <f t="shared" si="14"/>
        <v>7</v>
      </c>
      <c r="BG25" s="178">
        <f t="shared" si="15"/>
        <v>40449</v>
      </c>
      <c r="BH25" s="190">
        <f t="shared" si="16"/>
        <v>1185</v>
      </c>
      <c r="BI25" s="190">
        <f t="shared" si="17"/>
        <v>659</v>
      </c>
      <c r="BJ25" s="190">
        <f>IF(BQ25="","",(BH25*DATA!$AT$34+BI25*DATA!$AT$35))</f>
        <v>276.6</v>
      </c>
      <c r="BK25" s="190">
        <f>IF(BP25="","",BH25*DATA!$AV$34+BI25*DATA!$AV$35)</f>
      </c>
      <c r="BO25" s="184">
        <f t="shared" si="2"/>
        <v>15</v>
      </c>
      <c r="BP25" s="184">
        <f t="shared" si="3"/>
      </c>
      <c r="BQ25" s="184">
        <f t="shared" si="4"/>
        <v>5</v>
      </c>
    </row>
    <row r="26" spans="1:69" ht="15.75" customHeight="1">
      <c r="A26" s="16">
        <f>DATA!C14</f>
        <v>40434</v>
      </c>
      <c r="B26" s="196"/>
      <c r="C26" s="201">
        <f>IF(A26="","",SUMIF(DATA!$DG$4:$GH$4,"&lt;6",DATA!$D14:$CE14))</f>
        <v>1184</v>
      </c>
      <c r="D26" s="201">
        <f>IF(A26="","",SUMIF(DATA!$DG$4:$GH$4,"&gt;5",DATA!$D14:$CE14))</f>
        <v>655</v>
      </c>
      <c r="E26" s="196">
        <f t="shared" si="5"/>
        <v>1839</v>
      </c>
      <c r="F26" s="202">
        <f>IF($A26="","",IF($E$15&gt;0,C26*DATA!$AD$34+D26*DATA!$AD$35,""))</f>
        <v>216.65</v>
      </c>
      <c r="G26" s="202">
        <f>IF($A26="","",IF(W26=$G$18,C26*DATA!$AF$34+D26*DATA!$AF$35,""))</f>
      </c>
      <c r="H26" s="202">
        <f>IF($A26="","",IF($W26=$H$18,C26*DATA!$AH$34+D26*DATA!$AH$35,""))</f>
      </c>
      <c r="I26" s="202">
        <f>IF($A26="","",IF($W26=$I$18,C26*DATA!$AJ$34+D26*DATA!$AJ$35,""))</f>
      </c>
      <c r="J26" s="202">
        <f>IF($A26="","",IF($W26=$J$18,C26*DATA!$AL$34+D26*DATA!$AL$35,""))</f>
      </c>
      <c r="K26" s="202">
        <f>IF($A26="","",IF($W26=$K$18,C26*DATA!AN41+$D$19*DATA!$AN$35,""))</f>
      </c>
      <c r="L26" s="202">
        <f>IF($A26="","",IF($W26=$L$18,C26*DATA!$AP$34+D26*DATA!$AP$35,""))</f>
      </c>
      <c r="M26" s="202">
        <f>IF($A26="","",IF($W26=$M$18,C26*DATA!$AR$34+D26*DATA!$AR$35,""))</f>
      </c>
      <c r="N26" s="203">
        <f>IF(A26="","",$E$13+SUM(STOCK!$B$4:B11)-SUM($F$19:F26))</f>
        <v>1866.5</v>
      </c>
      <c r="O26" s="203">
        <f>IF(A26="","",$F$13+SUM(STOCK!$C$4:C11)-SUM($G$19:G26))</f>
        <v>785.56</v>
      </c>
      <c r="P26" s="203">
        <f>IF(A26="","",$G$13+SUM(STOCK!$D$4:D11)-SUM($H$19:H26))</f>
        <v>454</v>
      </c>
      <c r="Q26" s="203">
        <f>IF(A26="","",$H$13+SUM(STOCK!$E$4:E11)-SUM($I$19:I26))</f>
        <v>364</v>
      </c>
      <c r="R26" s="203">
        <f>IF(A26="","",$I$13+SUM(STOCK!$F$4:F11)-SUM($J$19:J26))</f>
        <v>264.79</v>
      </c>
      <c r="S26" s="203">
        <f>IF(A26="","",$J$13+SUM(STOCK!$G$4:G11)-SUM($K$19:K26))</f>
        <v>423</v>
      </c>
      <c r="T26" s="203">
        <f>IF(A26="","",$K$13+SUM(STOCK!$H$4:H11)-SUM($L$19:L26))</f>
        <v>331.96000000000004</v>
      </c>
      <c r="U26" s="203">
        <f>IF(A26="","",$L$13+SUM(STOCK!$I$4:I11)-SUM($M$19:M26))</f>
        <v>0</v>
      </c>
      <c r="W26" s="108"/>
      <c r="X26" s="122">
        <f t="shared" si="6"/>
      </c>
      <c r="Y26" s="122">
        <f t="shared" si="7"/>
      </c>
      <c r="AA26" s="108"/>
      <c r="AB26" s="108"/>
      <c r="AD26" s="97" t="s">
        <v>21</v>
      </c>
      <c r="AE26" s="102">
        <f>$F$7*DATA!$AP$34+$G$7*DATA!$AP$35</f>
        <v>69.87</v>
      </c>
      <c r="AF26" s="105">
        <f>FLOOR(L15/AE26,1)</f>
        <v>0</v>
      </c>
      <c r="AG26" s="119">
        <f t="shared" si="18"/>
        <v>0</v>
      </c>
      <c r="AJ26" s="117">
        <v>8</v>
      </c>
      <c r="AK26" s="121">
        <f t="shared" si="8"/>
      </c>
      <c r="AL26" s="145">
        <f t="shared" si="9"/>
      </c>
      <c r="AM26" s="144">
        <f t="shared" si="10"/>
      </c>
      <c r="AN26" s="144">
        <f t="shared" si="11"/>
      </c>
      <c r="AO26" s="144">
        <f t="shared" si="12"/>
      </c>
      <c r="BA26" s="185">
        <f>IF(AA26="","",SUM($AA$19:AA26))</f>
      </c>
      <c r="BB26" s="185">
        <f>IF(AB26="","",SUM($AB$19:AB26))</f>
      </c>
      <c r="BC26" s="177">
        <f t="shared" si="13"/>
      </c>
      <c r="BD26" s="159">
        <f>IF(BE26="","",SUM($BE$19:BE26))</f>
      </c>
      <c r="BE26" s="159">
        <f t="shared" si="1"/>
      </c>
      <c r="BF26" s="157">
        <f t="shared" si="14"/>
      </c>
      <c r="BG26" s="178">
        <f t="shared" si="15"/>
      </c>
      <c r="BH26" s="190">
        <f t="shared" si="16"/>
      </c>
      <c r="BI26" s="190">
        <f t="shared" si="17"/>
      </c>
      <c r="BJ26" s="190">
        <f>IF(BQ26="","",(BH26*DATA!$AT$34+BI26*DATA!$AT$35))</f>
      </c>
      <c r="BK26" s="190">
        <f>IF(BP26="","",BH26*DATA!$AV$34+BI26*DATA!$AV$35)</f>
      </c>
      <c r="BO26" s="184">
        <f t="shared" si="2"/>
      </c>
      <c r="BP26" s="184">
        <f t="shared" si="3"/>
      </c>
      <c r="BQ26" s="184">
        <f t="shared" si="4"/>
      </c>
    </row>
    <row r="27" spans="1:69" ht="15.75" customHeight="1">
      <c r="A27" s="16">
        <f>DATA!C15</f>
        <v>40437</v>
      </c>
      <c r="B27" s="196"/>
      <c r="C27" s="201">
        <f>IF(A27="","",SUMIF(DATA!$DG$4:$GH$4,"&lt;6",DATA!$D15:$CE15))</f>
        <v>1186</v>
      </c>
      <c r="D27" s="201">
        <f>IF(A27="","",SUMIF(DATA!$DG$4:$GH$4,"&gt;5",DATA!$D15:$CE15))</f>
        <v>660</v>
      </c>
      <c r="E27" s="196">
        <f t="shared" si="5"/>
        <v>1846</v>
      </c>
      <c r="F27" s="202">
        <f>IF($A27="","",IF($E$15&gt;0,C27*DATA!$AD$34+D27*DATA!$AD$35,""))</f>
        <v>217.60000000000002</v>
      </c>
      <c r="G27" s="202">
        <f>IF($A27="","",IF(W27=$G$18,C27*DATA!$AF$34+D27*DATA!$AF$35,""))</f>
      </c>
      <c r="H27" s="202">
        <f>IF($A27="","",IF($W27=$H$18,C27*DATA!$AH$34+D27*DATA!$AH$35,""))</f>
      </c>
      <c r="I27" s="202">
        <f>IF($A27="","",IF($W27=$I$18,C27*DATA!$AJ$34+D27*DATA!$AJ$35,""))</f>
      </c>
      <c r="J27" s="202">
        <f>IF($A27="","",IF($W27=$J$18,C27*DATA!$AL$34+D27*DATA!$AL$35,""))</f>
      </c>
      <c r="K27" s="202">
        <f>IF($A27="","",IF($W27=$K$18,C27*DATA!AN42+$D$19*DATA!$AN$35,""))</f>
      </c>
      <c r="L27" s="202">
        <f>IF($A27="","",IF($W27=$L$18,C27*DATA!$AP$34+D27*DATA!$AP$35,""))</f>
      </c>
      <c r="M27" s="202">
        <f>IF($A27="","",IF($W27=$M$18,C27*DATA!$AR$34+D27*DATA!$AR$35,""))</f>
      </c>
      <c r="N27" s="203">
        <f>IF(A27="","",$E$13+SUM(STOCK!$B$4:B12)-SUM($F$19:F27))</f>
        <v>1648.9</v>
      </c>
      <c r="O27" s="203">
        <f>IF(A27="","",$F$13+SUM(STOCK!$C$4:C12)-SUM($G$19:G27))</f>
        <v>785.56</v>
      </c>
      <c r="P27" s="203">
        <f>IF(A27="","",$G$13+SUM(STOCK!$D$4:D12)-SUM($H$19:H27))</f>
        <v>454</v>
      </c>
      <c r="Q27" s="203">
        <f>IF(A27="","",$H$13+SUM(STOCK!$E$4:E12)-SUM($I$19:I27))</f>
        <v>364</v>
      </c>
      <c r="R27" s="203">
        <f>IF(A27="","",$I$13+SUM(STOCK!$F$4:F12)-SUM($J$19:J27))</f>
        <v>264.79</v>
      </c>
      <c r="S27" s="203">
        <f>IF(A27="","",$J$13+SUM(STOCK!$G$4:G12)-SUM($K$19:K27))</f>
        <v>423</v>
      </c>
      <c r="T27" s="203">
        <f>IF(A27="","",$K$13+SUM(STOCK!$H$4:H12)-SUM($L$19:L27))</f>
        <v>331.96000000000004</v>
      </c>
      <c r="U27" s="203">
        <f>IF(A27="","",$L$13+SUM(STOCK!$I$4:I12)-SUM($M$19:M27))</f>
        <v>0</v>
      </c>
      <c r="W27" s="108"/>
      <c r="X27" s="122">
        <f t="shared" si="6"/>
      </c>
      <c r="Y27" s="122">
        <f t="shared" si="7"/>
      </c>
      <c r="AA27" s="108">
        <v>1</v>
      </c>
      <c r="AB27" s="108"/>
      <c r="AJ27" s="117">
        <v>9</v>
      </c>
      <c r="AK27" s="121">
        <f t="shared" si="8"/>
      </c>
      <c r="AL27" s="145">
        <f t="shared" si="9"/>
      </c>
      <c r="AM27" s="144">
        <f t="shared" si="10"/>
      </c>
      <c r="AN27" s="144">
        <f t="shared" si="11"/>
      </c>
      <c r="AO27" s="144">
        <f t="shared" si="12"/>
      </c>
      <c r="BA27" s="185">
        <f>IF(AA27="","",SUM($AA$19:AA27))</f>
        <v>1</v>
      </c>
      <c r="BB27" s="185">
        <f>IF(AB27="","",SUM($AB$19:AB27))</f>
      </c>
      <c r="BC27" s="177">
        <f t="shared" si="13"/>
        <v>40437</v>
      </c>
      <c r="BD27" s="159">
        <f>IF(BE27="","",SUM($BE$19:BE27))</f>
        <v>4</v>
      </c>
      <c r="BE27" s="159">
        <f t="shared" si="1"/>
        <v>1</v>
      </c>
      <c r="BF27" s="157">
        <f t="shared" si="14"/>
      </c>
      <c r="BG27" s="178">
        <f t="shared" si="15"/>
      </c>
      <c r="BH27" s="190">
        <f t="shared" si="16"/>
      </c>
      <c r="BI27" s="190">
        <f t="shared" si="17"/>
      </c>
      <c r="BJ27" s="190">
        <f>IF(BQ27="","",(BH27*DATA!$AT$34+BI27*DATA!$AT$35))</f>
      </c>
      <c r="BK27" s="190">
        <f>IF(BP27="","",BH27*DATA!$AV$34+BI27*DATA!$AV$35)</f>
      </c>
      <c r="BO27" s="184">
        <f t="shared" si="2"/>
      </c>
      <c r="BP27" s="184">
        <f t="shared" si="3"/>
      </c>
      <c r="BQ27" s="184">
        <f t="shared" si="4"/>
      </c>
    </row>
    <row r="28" spans="1:69" ht="15.75" customHeight="1">
      <c r="A28" s="16">
        <f>DATA!C16</f>
        <v>40438</v>
      </c>
      <c r="B28" s="196"/>
      <c r="C28" s="201">
        <f>IF(A28="","",SUMIF(DATA!$DG$4:$GH$4,"&lt;6",DATA!$D16:$CE16))</f>
        <v>1184</v>
      </c>
      <c r="D28" s="201">
        <f>IF(A28="","",SUMIF(DATA!$DG$4:$GH$4,"&gt;5",DATA!$D16:$CE16))</f>
        <v>655</v>
      </c>
      <c r="E28" s="196">
        <f t="shared" si="5"/>
        <v>1839</v>
      </c>
      <c r="F28" s="202">
        <f>IF($A28="","",IF($E$15&gt;0,C28*DATA!$AD$34+D28*DATA!$AD$35,""))</f>
        <v>216.65</v>
      </c>
      <c r="G28" s="202">
        <f>IF($A28="","",IF(W28=$G$18,C28*DATA!$AF$34+D28*DATA!$AF$35,""))</f>
      </c>
      <c r="H28" s="202">
        <f>IF($A28="","",IF($W28=$H$18,C28*DATA!$AH$34+D28*DATA!$AH$35,""))</f>
      </c>
      <c r="I28" s="202">
        <f>IF($A28="","",IF($W28=$I$18,C28*DATA!$AJ$34+D28*DATA!$AJ$35,""))</f>
      </c>
      <c r="J28" s="202">
        <f>IF($A28="","",IF($W28=$J$18,C28*DATA!$AL$34+D28*DATA!$AL$35,""))</f>
      </c>
      <c r="K28" s="202">
        <f>IF($A28="","",IF($W28=$K$18,C28*DATA!AN43+$D$19*DATA!$AN$35,""))</f>
      </c>
      <c r="L28" s="202">
        <f>IF($A28="","",IF($W28=$L$18,C28*DATA!$AP$34+D28*DATA!$AP$35,""))</f>
      </c>
      <c r="M28" s="202">
        <f>IF($A28="","",IF($W28=$M$18,C28*DATA!$AR$34+D28*DATA!$AR$35,""))</f>
      </c>
      <c r="N28" s="203">
        <f>IF(A28="","",$E$13+SUM(STOCK!$B$4:B13)-SUM($F$19:F28))</f>
        <v>1432.25</v>
      </c>
      <c r="O28" s="203">
        <f>IF(A28="","",$F$13+SUM(STOCK!$C$4:C13)-SUM($G$19:G28))</f>
        <v>785.56</v>
      </c>
      <c r="P28" s="203">
        <f>IF(A28="","",$G$13+SUM(STOCK!$D$4:D13)-SUM($H$19:H28))</f>
        <v>454</v>
      </c>
      <c r="Q28" s="203">
        <f>IF(A28="","",$H$13+SUM(STOCK!$E$4:E13)-SUM($I$19:I28))</f>
        <v>364</v>
      </c>
      <c r="R28" s="203">
        <f>IF(A28="","",$I$13+SUM(STOCK!$F$4:F13)-SUM($J$19:J28))</f>
        <v>264.79</v>
      </c>
      <c r="S28" s="203">
        <f>IF(A28="","",$J$13+SUM(STOCK!$G$4:G13)-SUM($K$19:K28))</f>
        <v>423</v>
      </c>
      <c r="T28" s="203">
        <f>IF(A28="","",$K$13+SUM(STOCK!$H$4:H13)-SUM($L$19:L28))</f>
        <v>331.96000000000004</v>
      </c>
      <c r="U28" s="203">
        <f>IF(A28="","",$L$13+SUM(STOCK!$I$4:I13)-SUM($M$19:M28))</f>
        <v>0</v>
      </c>
      <c r="W28" s="108"/>
      <c r="X28" s="122">
        <f t="shared" si="6"/>
      </c>
      <c r="Y28" s="122">
        <f t="shared" si="7"/>
      </c>
      <c r="AA28" s="108"/>
      <c r="AB28" s="108"/>
      <c r="AJ28" s="117">
        <v>10</v>
      </c>
      <c r="AK28" s="121">
        <f t="shared" si="8"/>
      </c>
      <c r="AL28" s="145">
        <f t="shared" si="9"/>
      </c>
      <c r="AM28" s="144">
        <f t="shared" si="10"/>
      </c>
      <c r="AN28" s="144">
        <f t="shared" si="11"/>
      </c>
      <c r="AO28" s="144">
        <f t="shared" si="12"/>
      </c>
      <c r="BA28" s="185">
        <f>IF(AA28="","",SUM($AA$19:AA28))</f>
      </c>
      <c r="BB28" s="185">
        <f>IF(AB28="","",SUM($AB$19:AB28))</f>
      </c>
      <c r="BC28" s="177">
        <f t="shared" si="13"/>
      </c>
      <c r="BD28" s="159">
        <f>IF(BE28="","",SUM($BE$19:BE28))</f>
      </c>
      <c r="BE28" s="159">
        <f t="shared" si="1"/>
      </c>
      <c r="BF28" s="157">
        <f t="shared" si="14"/>
      </c>
      <c r="BG28" s="178">
        <f t="shared" si="15"/>
      </c>
      <c r="BH28" s="190">
        <f t="shared" si="16"/>
      </c>
      <c r="BI28" s="190">
        <f t="shared" si="17"/>
      </c>
      <c r="BJ28" s="190">
        <f>IF(BQ28="","",(BH28*DATA!$AT$34+BI28*DATA!$AT$35))</f>
      </c>
      <c r="BK28" s="190">
        <f>IF(BP28="","",BH28*DATA!$AV$34+BI28*DATA!$AV$35)</f>
      </c>
      <c r="BO28" s="184">
        <f t="shared" si="2"/>
      </c>
      <c r="BP28" s="184">
        <f t="shared" si="3"/>
      </c>
      <c r="BQ28" s="184">
        <f t="shared" si="4"/>
      </c>
    </row>
    <row r="29" spans="1:69" ht="15.75" customHeight="1">
      <c r="A29" s="16">
        <f>DATA!C17</f>
        <v>40439</v>
      </c>
      <c r="B29" s="196"/>
      <c r="C29" s="201">
        <f>IF(A29="","",SUMIF(DATA!$DG$4:$GH$4,"&lt;6",DATA!$D17:$CE17))</f>
        <v>1180</v>
      </c>
      <c r="D29" s="201">
        <f>IF(A29="","",SUMIF(DATA!$DG$4:$GH$4,"&gt;5",DATA!$D17:$CE17))</f>
        <v>657</v>
      </c>
      <c r="E29" s="196">
        <f t="shared" si="5"/>
        <v>1837</v>
      </c>
      <c r="F29" s="202">
        <f>IF($A29="","",IF($E$15&gt;0,C29*DATA!$AD$34+D29*DATA!$AD$35,""))</f>
        <v>216.55</v>
      </c>
      <c r="G29" s="202">
        <f>IF($A29="","",IF(W29=$G$18,C29*DATA!$AF$34+D29*DATA!$AF$35,""))</f>
      </c>
      <c r="H29" s="202">
        <f>IF($A29="","",IF($W29=$H$18,C29*DATA!$AH$34+D29*DATA!$AH$35,""))</f>
      </c>
      <c r="I29" s="202">
        <f>IF($A29="","",IF($W29=$I$18,C29*DATA!$AJ$34+D29*DATA!$AJ$35,""))</f>
      </c>
      <c r="J29" s="202">
        <f>IF($A29="","",IF($W29=$J$18,C29*DATA!$AL$34+D29*DATA!$AL$35,""))</f>
      </c>
      <c r="K29" s="202">
        <f>IF($A29="","",IF($W29=$K$18,C29*DATA!AN44+$D$19*DATA!$AN$35,""))</f>
      </c>
      <c r="L29" s="202">
        <f>IF($A29="","",IF($W29=$L$18,C29*DATA!$AP$34+D29*DATA!$AP$35,""))</f>
      </c>
      <c r="M29" s="202">
        <f>IF($A29="","",IF($W29=$M$18,C29*DATA!$AR$34+D29*DATA!$AR$35,""))</f>
      </c>
      <c r="N29" s="203">
        <f>IF(A29="","",$E$13+SUM(STOCK!$B$4:B14)-SUM($F$19:F29))</f>
        <v>1215.6999999999998</v>
      </c>
      <c r="O29" s="203">
        <f>IF(A29="","",$F$13+SUM(STOCK!$C$4:C14)-SUM($G$19:G29))</f>
        <v>785.56</v>
      </c>
      <c r="P29" s="203">
        <f>IF(A29="","",$G$13+SUM(STOCK!$D$4:D14)-SUM($H$19:H29))</f>
        <v>454</v>
      </c>
      <c r="Q29" s="203">
        <f>IF(A29="","",$H$13+SUM(STOCK!$E$4:E14)-SUM($I$19:I29))</f>
        <v>364</v>
      </c>
      <c r="R29" s="203">
        <f>IF(A29="","",$I$13+SUM(STOCK!$F$4:F14)-SUM($J$19:J29))</f>
        <v>264.79</v>
      </c>
      <c r="S29" s="203">
        <f>IF(A29="","",$J$13+SUM(STOCK!$G$4:G14)-SUM($K$19:K29))</f>
        <v>423</v>
      </c>
      <c r="T29" s="203">
        <f>IF(A29="","",$K$13+SUM(STOCK!$H$4:H14)-SUM($L$19:L29))</f>
        <v>331.96000000000004</v>
      </c>
      <c r="U29" s="203">
        <f>IF(A29="","",$L$13+SUM(STOCK!$I$4:I14)-SUM($M$19:M29))</f>
        <v>0</v>
      </c>
      <c r="W29" s="108"/>
      <c r="X29" s="122">
        <f t="shared" si="6"/>
      </c>
      <c r="Y29" s="122">
        <f t="shared" si="7"/>
      </c>
      <c r="AA29" s="108"/>
      <c r="AB29" s="108">
        <v>1</v>
      </c>
      <c r="AJ29" s="117">
        <v>11</v>
      </c>
      <c r="AK29" s="121">
        <f t="shared" si="8"/>
      </c>
      <c r="AL29" s="145">
        <f t="shared" si="9"/>
      </c>
      <c r="AM29" s="144">
        <f t="shared" si="10"/>
      </c>
      <c r="AN29" s="144">
        <f t="shared" si="11"/>
      </c>
      <c r="AO29" s="144">
        <f t="shared" si="12"/>
      </c>
      <c r="BA29" s="185">
        <f>IF(AA29="","",SUM($AA$19:AA29))</f>
      </c>
      <c r="BB29" s="185">
        <f>IF(AB29="","",SUM($AB$19:AB29))</f>
        <v>4</v>
      </c>
      <c r="BC29" s="177">
        <f t="shared" si="13"/>
        <v>40439</v>
      </c>
      <c r="BD29" s="159">
        <f>IF(BE29="","",SUM($BE$19:BE29))</f>
        <v>5</v>
      </c>
      <c r="BE29" s="159">
        <f t="shared" si="1"/>
        <v>1</v>
      </c>
      <c r="BF29" s="157">
        <f t="shared" si="14"/>
      </c>
      <c r="BG29" s="178">
        <f t="shared" si="15"/>
      </c>
      <c r="BH29" s="190">
        <f t="shared" si="16"/>
      </c>
      <c r="BI29" s="190">
        <f t="shared" si="17"/>
      </c>
      <c r="BJ29" s="190">
        <f>IF(BQ29="","",(BH29*DATA!$AT$34+BI29*DATA!$AT$35))</f>
      </c>
      <c r="BK29" s="190">
        <f>IF(BP29="","",BH29*DATA!$AV$34+BI29*DATA!$AV$35)</f>
      </c>
      <c r="BO29" s="184">
        <f t="shared" si="2"/>
      </c>
      <c r="BP29" s="184">
        <f t="shared" si="3"/>
      </c>
      <c r="BQ29" s="184">
        <f t="shared" si="4"/>
      </c>
    </row>
    <row r="30" spans="1:69" ht="15.75" customHeight="1">
      <c r="A30" s="16">
        <f>DATA!C18</f>
        <v>40440</v>
      </c>
      <c r="B30" s="196"/>
      <c r="C30" s="201">
        <f>IF(A30="","",SUMIF(DATA!$DG$4:$GH$4,"&lt;6",DATA!$D18:$CE18))</f>
        <v>1182</v>
      </c>
      <c r="D30" s="201">
        <f>IF(A30="","",SUMIF(DATA!$DG$4:$GH$4,"&gt;5",DATA!$D18:$CE18))</f>
        <v>661</v>
      </c>
      <c r="E30" s="196">
        <f t="shared" si="5"/>
        <v>1843</v>
      </c>
      <c r="F30" s="202">
        <f>IF($A30="","",IF($E$15&gt;0,C30*DATA!$AD$34+D30*DATA!$AD$35,""))</f>
        <v>217.35</v>
      </c>
      <c r="G30" s="202">
        <f>IF($A30="","",IF(W30=$G$18,C30*DATA!$AF$34+D30*DATA!$AF$35,""))</f>
      </c>
      <c r="H30" s="202">
        <f>IF($A30="","",IF($W30=$H$18,C30*DATA!$AH$34+D30*DATA!$AH$35,""))</f>
      </c>
      <c r="I30" s="202">
        <f>IF($A30="","",IF($W30=$I$18,C30*DATA!$AJ$34+D30*DATA!$AJ$35,""))</f>
      </c>
      <c r="J30" s="202">
        <f>IF($A30="","",IF($W30=$J$18,C30*DATA!$AL$34+D30*DATA!$AL$35,""))</f>
      </c>
      <c r="K30" s="202">
        <f>IF($A30="","",IF($W30=$K$18,C30*DATA!AN45+$D$19*DATA!$AN$35,""))</f>
      </c>
      <c r="L30" s="202">
        <f>IF($A30="","",IF($W30=$L$18,C30*DATA!$AP$34+D30*DATA!$AP$35,""))</f>
      </c>
      <c r="M30" s="202">
        <f>IF($A30="","",IF($W30=$M$18,C30*DATA!$AR$34+D30*DATA!$AR$35,""))</f>
      </c>
      <c r="N30" s="203">
        <f>IF(A30="","",$E$13+SUM(STOCK!$B$4:B15)-SUM($F$19:F30))</f>
        <v>998.3499999999999</v>
      </c>
      <c r="O30" s="203">
        <f>IF(A30="","",$F$13+SUM(STOCK!$C$4:C15)-SUM($G$19:G30))</f>
        <v>785.56</v>
      </c>
      <c r="P30" s="203">
        <f>IF(A30="","",$G$13+SUM(STOCK!$D$4:D15)-SUM($H$19:H30))</f>
        <v>454</v>
      </c>
      <c r="Q30" s="203">
        <f>IF(A30="","",$H$13+SUM(STOCK!$E$4:E15)-SUM($I$19:I30))</f>
        <v>364</v>
      </c>
      <c r="R30" s="203">
        <f>IF(A30="","",$I$13+SUM(STOCK!$F$4:F15)-SUM($J$19:J30))</f>
        <v>264.79</v>
      </c>
      <c r="S30" s="203">
        <f>IF(A30="","",$J$13+SUM(STOCK!$G$4:G15)-SUM($K$19:K30))</f>
        <v>423</v>
      </c>
      <c r="T30" s="203">
        <f>IF(A30="","",$K$13+SUM(STOCK!$H$4:H15)-SUM($L$19:L30))</f>
        <v>331.96000000000004</v>
      </c>
      <c r="U30" s="203">
        <f>IF(A30="","",$L$13+SUM(STOCK!$I$4:I15)-SUM($M$19:M30))</f>
        <v>0</v>
      </c>
      <c r="W30" s="108"/>
      <c r="X30" s="122">
        <f t="shared" si="6"/>
      </c>
      <c r="Y30" s="122">
        <f t="shared" si="7"/>
      </c>
      <c r="AA30" s="108"/>
      <c r="AB30" s="108"/>
      <c r="AJ30" s="117">
        <v>12</v>
      </c>
      <c r="AK30" s="121">
        <f t="shared" si="8"/>
      </c>
      <c r="AL30" s="145">
        <f t="shared" si="9"/>
      </c>
      <c r="AM30" s="144">
        <f t="shared" si="10"/>
      </c>
      <c r="AN30" s="144">
        <f t="shared" si="11"/>
      </c>
      <c r="AO30" s="144">
        <f t="shared" si="12"/>
      </c>
      <c r="BA30" s="185">
        <f>IF(AA30="","",SUM($AA$19:AA30))</f>
      </c>
      <c r="BB30" s="185">
        <f>IF(AB30="","",SUM($AB$19:AB30))</f>
      </c>
      <c r="BC30" s="177">
        <f t="shared" si="13"/>
      </c>
      <c r="BD30" s="159">
        <f>IF(BE30="","",SUM($BE$19:BE30))</f>
      </c>
      <c r="BE30" s="159">
        <f t="shared" si="1"/>
      </c>
      <c r="BF30" s="157">
        <f t="shared" si="14"/>
      </c>
      <c r="BG30" s="178">
        <f t="shared" si="15"/>
      </c>
      <c r="BH30" s="190">
        <f t="shared" si="16"/>
      </c>
      <c r="BI30" s="190">
        <f t="shared" si="17"/>
      </c>
      <c r="BJ30" s="190">
        <f>IF(BQ30="","",(BH30*DATA!$AT$34+BI30*DATA!$AT$35))</f>
      </c>
      <c r="BK30" s="190">
        <f>IF(BP30="","",BH30*DATA!$AV$34+BI30*DATA!$AV$35)</f>
      </c>
      <c r="BO30" s="184">
        <f t="shared" si="2"/>
      </c>
      <c r="BP30" s="184">
        <f t="shared" si="3"/>
      </c>
      <c r="BQ30" s="184">
        <f t="shared" si="4"/>
      </c>
    </row>
    <row r="31" spans="1:69" ht="15.75" customHeight="1">
      <c r="A31" s="16">
        <f>DATA!C19</f>
        <v>40441</v>
      </c>
      <c r="B31" s="196"/>
      <c r="C31" s="201">
        <f>IF(A31="","",SUMIF(DATA!$DG$4:$GH$4,"&lt;6",DATA!$D19:$CE19))</f>
        <v>1183</v>
      </c>
      <c r="D31" s="201">
        <f>IF(A31="","",SUMIF(DATA!$DG$4:$GH$4,"&gt;5",DATA!$D19:$CE19))</f>
        <v>657</v>
      </c>
      <c r="E31" s="196">
        <f t="shared" si="5"/>
        <v>1840</v>
      </c>
      <c r="F31" s="202">
        <f>IF($A31="","",IF($E$15&gt;0,C31*DATA!$AD$34+D31*DATA!$AD$35,""))</f>
        <v>216.85000000000002</v>
      </c>
      <c r="G31" s="202">
        <f>IF($A31="","",IF(W31=$G$18,C31*DATA!$AF$34+D31*DATA!$AF$35,""))</f>
      </c>
      <c r="H31" s="202">
        <f>IF($A31="","",IF($W31=$H$18,C31*DATA!$AH$34+D31*DATA!$AH$35,""))</f>
      </c>
      <c r="I31" s="202">
        <f>IF($A31="","",IF($W31=$I$18,C31*DATA!$AJ$34+D31*DATA!$AJ$35,""))</f>
      </c>
      <c r="J31" s="202">
        <f>IF($A31="","",IF($W31=$J$18,C31*DATA!$AL$34+D31*DATA!$AL$35,""))</f>
      </c>
      <c r="K31" s="202">
        <f>IF($A31="","",IF($W31=$K$18,C31*DATA!AN46+$D$19*DATA!$AN$35,""))</f>
      </c>
      <c r="L31" s="202">
        <f>IF($A31="","",IF($W31=$L$18,C31*DATA!$AP$34+D31*DATA!$AP$35,""))</f>
      </c>
      <c r="M31" s="202">
        <f>IF($A31="","",IF($W31=$M$18,C31*DATA!$AR$34+D31*DATA!$AR$35,""))</f>
      </c>
      <c r="N31" s="203">
        <f>IF(A31="","",$E$13+SUM(STOCK!$B$4:B16)-SUM($F$19:F31))</f>
        <v>781.5</v>
      </c>
      <c r="O31" s="203">
        <f>IF(A31="","",$F$13+SUM(STOCK!$C$4:C16)-SUM($G$19:G31))</f>
        <v>785.56</v>
      </c>
      <c r="P31" s="203">
        <f>IF(A31="","",$G$13+SUM(STOCK!$D$4:D16)-SUM($H$19:H31))</f>
        <v>454</v>
      </c>
      <c r="Q31" s="203">
        <f>IF(A31="","",$H$13+SUM(STOCK!$E$4:E16)-SUM($I$19:I31))</f>
        <v>364</v>
      </c>
      <c r="R31" s="203">
        <f>IF(A31="","",$I$13+SUM(STOCK!$F$4:F16)-SUM($J$19:J31))</f>
        <v>264.79</v>
      </c>
      <c r="S31" s="203">
        <f>IF(A31="","",$J$13+SUM(STOCK!$G$4:G16)-SUM($K$19:K31))</f>
        <v>423</v>
      </c>
      <c r="T31" s="203">
        <f>IF(A31="","",$K$13+SUM(STOCK!$H$4:H16)-SUM($L$19:L31))</f>
        <v>331.96000000000004</v>
      </c>
      <c r="U31" s="203">
        <f>IF(A31="","",$L$13+SUM(STOCK!$I$4:I16)-SUM($M$19:M31))</f>
        <v>0</v>
      </c>
      <c r="W31" s="108"/>
      <c r="X31" s="122">
        <f t="shared" si="6"/>
      </c>
      <c r="Y31" s="122">
        <f t="shared" si="7"/>
      </c>
      <c r="AA31" s="108">
        <v>1</v>
      </c>
      <c r="AB31" s="108"/>
      <c r="AJ31" s="117">
        <v>13</v>
      </c>
      <c r="AK31" s="121">
        <f t="shared" si="8"/>
      </c>
      <c r="AL31" s="145">
        <f t="shared" si="9"/>
      </c>
      <c r="AM31" s="144">
        <f t="shared" si="10"/>
      </c>
      <c r="AN31" s="144">
        <f t="shared" si="11"/>
      </c>
      <c r="AO31" s="144">
        <f t="shared" si="12"/>
      </c>
      <c r="BA31" s="185">
        <f>IF(AA31="","",SUM($AA$19:AA31))</f>
        <v>2</v>
      </c>
      <c r="BB31" s="185">
        <f>IF(AB31="","",SUM($AB$19:AB31))</f>
      </c>
      <c r="BC31" s="177">
        <f t="shared" si="13"/>
        <v>40441</v>
      </c>
      <c r="BD31" s="159">
        <f>IF(BE31="","",SUM($BE$19:BE31))</f>
        <v>6</v>
      </c>
      <c r="BE31" s="159">
        <f t="shared" si="1"/>
        <v>1</v>
      </c>
      <c r="BF31" s="157">
        <f t="shared" si="14"/>
      </c>
      <c r="BG31" s="178">
        <f t="shared" si="15"/>
      </c>
      <c r="BH31" s="190">
        <f t="shared" si="16"/>
      </c>
      <c r="BI31" s="190">
        <f t="shared" si="17"/>
      </c>
      <c r="BJ31" s="190">
        <f>IF(BQ31="","",(BH31*DATA!$AT$34+BI31*DATA!$AT$35))</f>
      </c>
      <c r="BK31" s="190">
        <f>IF(BP31="","",BH31*DATA!$AV$34+BI31*DATA!$AV$35)</f>
      </c>
      <c r="BO31" s="184">
        <f t="shared" si="2"/>
      </c>
      <c r="BP31" s="184">
        <f t="shared" si="3"/>
      </c>
      <c r="BQ31" s="184">
        <f t="shared" si="4"/>
      </c>
    </row>
    <row r="32" spans="1:69" ht="15.75" customHeight="1">
      <c r="A32" s="16">
        <f>DATA!C20</f>
        <v>40443</v>
      </c>
      <c r="B32" s="196"/>
      <c r="C32" s="201">
        <f>IF(A32="","",SUMIF(DATA!$DG$4:$GH$4,"&lt;6",DATA!$D20:$CE20))</f>
        <v>1186</v>
      </c>
      <c r="D32" s="201">
        <f>IF(A32="","",SUMIF(DATA!$DG$4:$GH$4,"&gt;5",DATA!$D20:$CE20))</f>
        <v>657</v>
      </c>
      <c r="E32" s="196">
        <f t="shared" si="5"/>
        <v>1843</v>
      </c>
      <c r="F32" s="202">
        <f>IF($A32="","",IF($E$15&gt;0,C32*DATA!$AD$34+D32*DATA!$AD$35,""))</f>
        <v>217.15</v>
      </c>
      <c r="G32" s="202">
        <f>IF($A32="","",IF(W32=$G$18,C32*DATA!$AF$34+D32*DATA!$AF$35,""))</f>
      </c>
      <c r="H32" s="202">
        <f>IF($A32="","",IF($W32=$H$18,C32*DATA!$AH$34+D32*DATA!$AH$35,""))</f>
      </c>
      <c r="I32" s="202">
        <f>IF($A32="","",IF($W32=$I$18,C32*DATA!$AJ$34+D32*DATA!$AJ$35,""))</f>
      </c>
      <c r="J32" s="202">
        <f>IF($A32="","",IF($W32=$J$18,C32*DATA!$AL$34+D32*DATA!$AL$35,""))</f>
      </c>
      <c r="K32" s="202">
        <f>IF($A32="","",IF($W32=$K$18,C32*DATA!AN47+$D$19*DATA!$AN$35,""))</f>
      </c>
      <c r="L32" s="202">
        <f>IF($A32="","",IF($W32=$L$18,C32*DATA!$AP$34+D32*DATA!$AP$35,""))</f>
      </c>
      <c r="M32" s="202">
        <f>IF($A32="","",IF($W32=$M$18,C32*DATA!$AR$34+D32*DATA!$AR$35,""))</f>
      </c>
      <c r="N32" s="203">
        <f>IF(A32="","",$E$13+SUM(STOCK!$B$4:B17)-SUM($F$19:F32))</f>
        <v>564.3499999999999</v>
      </c>
      <c r="O32" s="203">
        <f>IF(A32="","",$F$13+SUM(STOCK!$C$4:C17)-SUM($G$19:G32))</f>
        <v>785.56</v>
      </c>
      <c r="P32" s="203">
        <f>IF(A32="","",$G$13+SUM(STOCK!$D$4:D17)-SUM($H$19:H32))</f>
        <v>454</v>
      </c>
      <c r="Q32" s="203">
        <f>IF(A32="","",$H$13+SUM(STOCK!$E$4:E17)-SUM($I$19:I32))</f>
        <v>364</v>
      </c>
      <c r="R32" s="203">
        <f>IF(A32="","",$I$13+SUM(STOCK!$F$4:F17)-SUM($J$19:J32))</f>
        <v>264.79</v>
      </c>
      <c r="S32" s="203">
        <f>IF(A32="","",$J$13+SUM(STOCK!$G$4:G17)-SUM($K$19:K32))</f>
        <v>423</v>
      </c>
      <c r="T32" s="203">
        <f>IF(A32="","",$K$13+SUM(STOCK!$H$4:H17)-SUM($L$19:L32))</f>
        <v>331.96000000000004</v>
      </c>
      <c r="U32" s="203">
        <f>IF(A32="","",$L$13+SUM(STOCK!$I$4:I17)-SUM($M$19:M32))</f>
        <v>0</v>
      </c>
      <c r="W32" s="108"/>
      <c r="X32" s="122">
        <f>IF(AK32&lt;0,"No Stock",AK32)</f>
      </c>
      <c r="Y32" s="122">
        <f t="shared" si="7"/>
      </c>
      <c r="AA32" s="108"/>
      <c r="AB32" s="108"/>
      <c r="AJ32" s="117">
        <v>14</v>
      </c>
      <c r="AK32" s="121">
        <f t="shared" si="8"/>
      </c>
      <c r="AL32" s="145">
        <f t="shared" si="9"/>
      </c>
      <c r="AM32" s="144">
        <f t="shared" si="10"/>
      </c>
      <c r="AN32" s="144">
        <f t="shared" si="11"/>
      </c>
      <c r="AO32" s="144">
        <f t="shared" si="12"/>
      </c>
      <c r="BA32" s="185">
        <f>IF(AA32="","",SUM($AA$19:AA32))</f>
      </c>
      <c r="BB32" s="185">
        <f>IF(AB32="","",SUM($AB$19:AB32))</f>
      </c>
      <c r="BC32" s="177">
        <f t="shared" si="13"/>
      </c>
      <c r="BD32" s="159">
        <f>IF(BE32="","",SUM($BE$19:BE32))</f>
      </c>
      <c r="BE32" s="159">
        <f t="shared" si="1"/>
      </c>
      <c r="BF32" s="157">
        <f t="shared" si="14"/>
      </c>
      <c r="BG32" s="178">
        <f t="shared" si="15"/>
      </c>
      <c r="BH32" s="190">
        <f t="shared" si="16"/>
      </c>
      <c r="BI32" s="190">
        <f t="shared" si="17"/>
      </c>
      <c r="BJ32" s="190">
        <f>IF(BQ32="","",(BH32*DATA!$AT$34+BI32*DATA!$AT$35))</f>
      </c>
      <c r="BK32" s="190">
        <f>IF(BP32="","",BH32*DATA!$AV$34+BI32*DATA!$AV$35)</f>
      </c>
      <c r="BO32" s="184">
        <f t="shared" si="2"/>
      </c>
      <c r="BP32" s="184">
        <f t="shared" si="3"/>
      </c>
      <c r="BQ32" s="184">
        <f t="shared" si="4"/>
      </c>
    </row>
    <row r="33" spans="1:69" ht="15.75" customHeight="1">
      <c r="A33" s="16">
        <f>DATA!C21</f>
        <v>40449</v>
      </c>
      <c r="B33" s="196"/>
      <c r="C33" s="201">
        <f>IF(A33="","",SUMIF(DATA!$DG$4:$GH$4,"&lt;6",DATA!$D21:$CE21))</f>
        <v>1185</v>
      </c>
      <c r="D33" s="201">
        <f>IF(A33="","",SUMIF(DATA!$DG$4:$GH$4,"&gt;5",DATA!$D21:$CE21))</f>
        <v>659</v>
      </c>
      <c r="E33" s="196">
        <f t="shared" si="5"/>
        <v>1844</v>
      </c>
      <c r="F33" s="202">
        <f>IF($A33="","",IF($E$15&gt;0,C33*DATA!$AD$34+D33*DATA!$AD$35,""))</f>
        <v>217.35</v>
      </c>
      <c r="G33" s="202">
        <f>IF($A33="","",IF(W33=$G$18,C33*DATA!$AF$34+D33*DATA!$AF$35,""))</f>
      </c>
      <c r="H33" s="202">
        <f>IF($A33="","",IF($W33=$H$18,C33*DATA!$AH$34+D33*DATA!$AH$35,""))</f>
      </c>
      <c r="I33" s="202">
        <f>IF($A33="","",IF($W33=$I$18,C33*DATA!$AJ$34+D33*DATA!$AJ$35,""))</f>
      </c>
      <c r="J33" s="202">
        <f>IF($A33="","",IF($W33=$J$18,C33*DATA!$AL$34+D33*DATA!$AL$35,""))</f>
      </c>
      <c r="K33" s="202">
        <f>IF($A33="","",IF($W33=$K$18,C33*DATA!AN48+$D$19*DATA!$AN$35,""))</f>
      </c>
      <c r="L33" s="202">
        <f>IF($A33="","",IF($W33=$L$18,C33*DATA!$AP$34+D33*DATA!$AP$35,""))</f>
      </c>
      <c r="M33" s="202">
        <f>IF($A33="","",IF($W33=$M$18,C33*DATA!$AR$34+D33*DATA!$AR$35,""))</f>
      </c>
      <c r="N33" s="203">
        <f>IF(A33="","",$E$13+SUM(STOCK!$B$4:B18)-SUM($F$19:F33))</f>
        <v>347</v>
      </c>
      <c r="O33" s="203">
        <f>IF(A33="","",$F$13+SUM(STOCK!$C$4:C18)-SUM($G$19:G33))</f>
        <v>785.56</v>
      </c>
      <c r="P33" s="203">
        <f>IF(A33="","",$G$13+SUM(STOCK!$D$4:D18)-SUM($H$19:H33))</f>
        <v>454</v>
      </c>
      <c r="Q33" s="203">
        <f>IF(A33="","",$H$13+SUM(STOCK!$E$4:E18)-SUM($I$19:I33))</f>
        <v>364</v>
      </c>
      <c r="R33" s="203">
        <f>IF(A33="","",$I$13+SUM(STOCK!$F$4:F18)-SUM($J$19:J33))</f>
        <v>264.79</v>
      </c>
      <c r="S33" s="203">
        <f>IF(A33="","",$J$13+SUM(STOCK!$G$4:G18)-SUM($K$19:K33))</f>
        <v>423</v>
      </c>
      <c r="T33" s="203">
        <f>IF(A33="","",$K$13+SUM(STOCK!$H$4:H18)-SUM($L$19:L33))</f>
        <v>331.96000000000004</v>
      </c>
      <c r="U33" s="203">
        <f>IF(A33="","",$L$13+SUM(STOCK!$I$4:I18)-SUM($M$19:M33))</f>
        <v>0</v>
      </c>
      <c r="W33" s="108"/>
      <c r="X33" s="122">
        <f t="shared" si="6"/>
      </c>
      <c r="Y33" s="122">
        <f t="shared" si="7"/>
      </c>
      <c r="AA33" s="108"/>
      <c r="AB33" s="108">
        <v>1</v>
      </c>
      <c r="AJ33" s="117">
        <v>15</v>
      </c>
      <c r="AK33" s="121">
        <f t="shared" si="8"/>
      </c>
      <c r="AL33" s="145">
        <f t="shared" si="9"/>
      </c>
      <c r="AM33" s="144">
        <f t="shared" si="10"/>
      </c>
      <c r="AN33" s="144">
        <f t="shared" si="11"/>
      </c>
      <c r="AO33" s="144">
        <f t="shared" si="12"/>
      </c>
      <c r="BA33" s="185">
        <f>IF(AA33="","",SUM($AA$19:AA33))</f>
      </c>
      <c r="BB33" s="185">
        <f>IF(AB33="","",SUM($AB$19:AB33))</f>
        <v>5</v>
      </c>
      <c r="BC33" s="177">
        <f t="shared" si="13"/>
        <v>40449</v>
      </c>
      <c r="BD33" s="159">
        <f>IF(BE33="","",SUM($BE$19:BE33))</f>
        <v>7</v>
      </c>
      <c r="BE33" s="159">
        <f t="shared" si="1"/>
        <v>1</v>
      </c>
      <c r="BF33" s="157">
        <f t="shared" si="14"/>
      </c>
      <c r="BG33" s="178">
        <f t="shared" si="15"/>
      </c>
      <c r="BH33" s="190">
        <f t="shared" si="16"/>
      </c>
      <c r="BI33" s="190">
        <f t="shared" si="17"/>
      </c>
      <c r="BJ33" s="190">
        <f>IF(BQ33="","",(BH33*DATA!$AT$34+BI33*DATA!$AT$35))</f>
      </c>
      <c r="BK33" s="190">
        <f>IF(BP33="","",BH33*DATA!$AV$34+BI33*DATA!$AV$35)</f>
      </c>
      <c r="BO33" s="184">
        <f t="shared" si="2"/>
      </c>
      <c r="BP33" s="184">
        <f t="shared" si="3"/>
      </c>
      <c r="BQ33" s="184">
        <f t="shared" si="4"/>
      </c>
    </row>
    <row r="34" spans="1:69" ht="15.75" customHeight="1">
      <c r="A34" s="16">
        <f>DATA!C22</f>
      </c>
      <c r="B34" s="196"/>
      <c r="C34" s="201">
        <f>IF(A34="","",SUMIF(DATA!$DG$4:$GH$4,"&lt;6",DATA!$D22:$CE22))</f>
      </c>
      <c r="D34" s="201">
        <f>IF(A34="","",SUMIF(DATA!$DG$4:$GH$4,"&gt;5",DATA!$D22:$CE22))</f>
      </c>
      <c r="E34" s="196">
        <f t="shared" si="5"/>
      </c>
      <c r="F34" s="202">
        <f>IF($A34="","",IF($E$15&gt;0,C34*DATA!$AD$34+D34*DATA!$AD$35,""))</f>
      </c>
      <c r="G34" s="202">
        <f>IF($A34="","",IF(W34=$G$18,C34*DATA!$AF$34+D34*DATA!$AF$35,""))</f>
      </c>
      <c r="H34" s="202">
        <f>IF($A34="","",IF($W34=$H$18,C34*DATA!$AH$34+D34*DATA!$AH$35,""))</f>
      </c>
      <c r="I34" s="202">
        <f>IF($A34="","",IF($W34=$I$18,C34*DATA!$AJ$34+D34*DATA!$AJ$35,""))</f>
      </c>
      <c r="J34" s="202">
        <f>IF($A34="","",IF($W34=$J$18,C34*DATA!$AL$34+D34*DATA!$AL$35,""))</f>
      </c>
      <c r="K34" s="202">
        <f>IF($A34="","",IF($W34=$K$18,C34*DATA!AN49+$D$19*DATA!$AN$35,""))</f>
      </c>
      <c r="L34" s="202">
        <f>IF($A34="","",IF($W34=$L$18,C34*DATA!$AP$34+D34*DATA!$AP$35,""))</f>
      </c>
      <c r="M34" s="202">
        <f>IF($A34="","",IF($W34=$M$18,C34*DATA!$AR$34+D34*DATA!$AR$35,""))</f>
      </c>
      <c r="N34" s="203">
        <f>IF(A34="","",$E$13+SUM(STOCK!$B$4:B19)-SUM($F$19:F34))</f>
      </c>
      <c r="O34" s="203">
        <f>IF(A34="","",$F$13+SUM(STOCK!$C$4:C19)-SUM($G$19:G34))</f>
      </c>
      <c r="P34" s="203">
        <f>IF(A34="","",$G$13+SUM(STOCK!$D$4:D19)-SUM($H$19:H34))</f>
      </c>
      <c r="Q34" s="203">
        <f>IF(A34="","",$H$13+SUM(STOCK!$E$4:E19)-SUM($I$19:I34))</f>
      </c>
      <c r="R34" s="203">
        <f>IF(A34="","",$I$13+SUM(STOCK!$F$4:F19)-SUM($J$19:J34))</f>
      </c>
      <c r="S34" s="203">
        <f>IF(A34="","",$J$13+SUM(STOCK!$G$4:G19)-SUM($K$19:K34))</f>
      </c>
      <c r="T34" s="203">
        <f>IF(A34="","",$K$13+SUM(STOCK!$H$4:H19)-SUM($L$19:L34))</f>
      </c>
      <c r="U34" s="203">
        <f>IF(A34="","",$L$13+SUM(STOCK!$I$4:I19)-SUM($M$19:M34))</f>
      </c>
      <c r="W34" s="108"/>
      <c r="X34" s="122">
        <f t="shared" si="6"/>
      </c>
      <c r="Y34" s="122">
        <f t="shared" si="7"/>
      </c>
      <c r="AA34" s="108"/>
      <c r="AB34" s="108"/>
      <c r="AJ34" s="117">
        <v>16</v>
      </c>
      <c r="AK34" s="121">
        <f t="shared" si="8"/>
      </c>
      <c r="AL34" s="145">
        <f t="shared" si="9"/>
      </c>
      <c r="AM34" s="144">
        <f t="shared" si="10"/>
      </c>
      <c r="AN34" s="144">
        <f t="shared" si="11"/>
      </c>
      <c r="AO34" s="144">
        <f t="shared" si="12"/>
      </c>
      <c r="BA34" s="185">
        <f>IF(AA34="","",SUM($AA$19:AA34))</f>
      </c>
      <c r="BB34" s="185">
        <f>IF(AB34="","",SUM($AB$19:AB34))</f>
      </c>
      <c r="BC34" s="177">
        <f t="shared" si="13"/>
      </c>
      <c r="BD34" s="159">
        <f>IF(BE34="","",SUM($BE$19:BE34))</f>
      </c>
      <c r="BE34" s="159">
        <f t="shared" si="1"/>
      </c>
      <c r="BF34" s="157">
        <f t="shared" si="14"/>
      </c>
      <c r="BG34" s="178">
        <f t="shared" si="15"/>
      </c>
      <c r="BH34" s="190">
        <f t="shared" si="16"/>
      </c>
      <c r="BI34" s="190">
        <f t="shared" si="17"/>
      </c>
      <c r="BJ34" s="190">
        <f>IF(BQ34="","",(BH34*DATA!$AT$34+BI34*DATA!$AT$35))</f>
      </c>
      <c r="BK34" s="190">
        <f>IF(BP34="","",BH34*DATA!$AV$34+BI34*DATA!$AV$35)</f>
      </c>
      <c r="BO34" s="184">
        <f t="shared" si="2"/>
      </c>
      <c r="BP34" s="184">
        <f t="shared" si="3"/>
      </c>
      <c r="BQ34" s="184">
        <f t="shared" si="4"/>
      </c>
    </row>
    <row r="35" spans="1:65" ht="15.75" customHeight="1">
      <c r="A35" s="16">
        <f>DATA!C23</f>
      </c>
      <c r="B35" s="196"/>
      <c r="C35" s="201">
        <f>IF(A35="","",SUMIF(DATA!$DG$4:$GH$4,"&lt;6",DATA!$D23:$CE23))</f>
      </c>
      <c r="D35" s="201">
        <f>IF(A35="","",SUMIF(DATA!$DG$4:$GH$4,"&gt;5",DATA!$D23:$CE23))</f>
      </c>
      <c r="E35" s="196">
        <f t="shared" si="5"/>
      </c>
      <c r="F35" s="202">
        <f>IF($A35="","",IF($E$15&gt;0,C35*DATA!$AD$34+D35*DATA!$AD$35,""))</f>
      </c>
      <c r="G35" s="202">
        <f>IF($A35="","",IF(W35=$G$18,C35*DATA!$AF$34+D35*DATA!$AF$35,""))</f>
      </c>
      <c r="H35" s="202">
        <f>IF($A35="","",IF($W35=$H$18,C35*DATA!$AH$34+D35*DATA!$AH$35,""))</f>
      </c>
      <c r="I35" s="202">
        <f>IF($A35="","",IF($W35=$I$18,C35*DATA!$AJ$34+D35*DATA!$AJ$35,""))</f>
      </c>
      <c r="J35" s="202">
        <f>IF($A35="","",IF($W35=$J$18,C35*DATA!$AL$34+D35*DATA!$AL$35,""))</f>
      </c>
      <c r="K35" s="202">
        <f>IF($A35="","",IF($W35=$K$18,C35*DATA!AN50+$D$19*DATA!$AN$35,""))</f>
      </c>
      <c r="L35" s="202">
        <f>IF($A35="","",IF($W35=$L$18,C35*DATA!$AP$34+D35*DATA!$AP$35,""))</f>
      </c>
      <c r="M35" s="202">
        <f>IF($A35="","",IF($W35=$M$18,C35*DATA!$AR$34+D35*DATA!$AR$35,""))</f>
      </c>
      <c r="N35" s="203">
        <f>IF(A35="","",$E$13+SUM(STOCK!$B$4:B20)-SUM($F$19:F35))</f>
      </c>
      <c r="O35" s="203">
        <f>IF(A35="","",$F$13+SUM(STOCK!$C$4:C20)-SUM($G$19:G35))</f>
      </c>
      <c r="P35" s="203">
        <f>IF(A35="","",$G$13+SUM(STOCK!$D$4:D20)-SUM($H$19:H35))</f>
      </c>
      <c r="Q35" s="203">
        <f>IF(A35="","",$H$13+SUM(STOCK!$E$4:E20)-SUM($I$19:I35))</f>
      </c>
      <c r="R35" s="203">
        <f>IF(A35="","",$I$13+SUM(STOCK!$F$4:F20)-SUM($J$19:J35))</f>
      </c>
      <c r="S35" s="203">
        <f>IF(A35="","",$J$13+SUM(STOCK!$G$4:G20)-SUM($K$19:K35))</f>
      </c>
      <c r="T35" s="203">
        <f>IF(A35="","",$K$13+SUM(STOCK!$H$4:H20)-SUM($L$19:L35))</f>
      </c>
      <c r="U35" s="203">
        <f>IF(A35="","",$L$13+SUM(STOCK!$I$4:I20)-SUM($M$19:M35))</f>
      </c>
      <c r="W35" s="108"/>
      <c r="X35" s="122">
        <f t="shared" si="6"/>
      </c>
      <c r="Y35" s="122">
        <f t="shared" si="7"/>
      </c>
      <c r="AA35" s="108"/>
      <c r="AB35" s="108"/>
      <c r="AJ35" s="117">
        <v>17</v>
      </c>
      <c r="AK35" s="121">
        <f t="shared" si="8"/>
      </c>
      <c r="AL35" s="145">
        <f t="shared" si="9"/>
      </c>
      <c r="AM35" s="144">
        <f t="shared" si="10"/>
      </c>
      <c r="AN35" s="144">
        <f t="shared" si="11"/>
      </c>
      <c r="AO35" s="144">
        <f t="shared" si="12"/>
      </c>
      <c r="BA35" s="185">
        <f>IF(AA35="","",SUM($AA$19:AA35))</f>
      </c>
      <c r="BB35" s="185">
        <f>IF(AB35="","",SUM($AB$19:AB35))</f>
      </c>
      <c r="BC35" s="177">
        <f t="shared" si="13"/>
      </c>
      <c r="BD35" s="159">
        <f>IF(BE35="","",SUM($BE$19:BE35))</f>
      </c>
      <c r="BE35" s="159">
        <f t="shared" si="1"/>
      </c>
      <c r="BF35" s="157">
        <f t="shared" si="14"/>
      </c>
      <c r="BG35" s="178">
        <f t="shared" si="15"/>
      </c>
      <c r="BH35" s="190">
        <f t="shared" si="16"/>
      </c>
      <c r="BI35" s="190">
        <f t="shared" si="17"/>
      </c>
      <c r="BJ35" s="190">
        <f>IF(BQ35="","",(BH35*DATA!$AT$34+BI35*DATA!$AT$35))</f>
      </c>
      <c r="BK35" s="190">
        <f>IF(BP35="","",BH35*DATA!$AV$34+BI35*DATA!$AV$35)</f>
      </c>
      <c r="BL35" s="165">
        <f aca="true" t="shared" si="19" ref="BL35:BL42">IF(BF35="","",INDEX($BA$19:$BA$42,BK35,1))</f>
      </c>
      <c r="BM35" s="165">
        <f>IF(BG35="","",INDEX($BB$19:$BB$42,BK35,1))</f>
      </c>
    </row>
    <row r="36" spans="1:65" ht="15.75" customHeight="1">
      <c r="A36" s="16">
        <f>DATA!C24</f>
      </c>
      <c r="B36" s="196"/>
      <c r="C36" s="201">
        <f>IF(A36="","",SUMIF(DATA!$DG$4:$GH$4,"&lt;6",DATA!$D24:$CE24))</f>
      </c>
      <c r="D36" s="201">
        <f>IF(A36="","",SUMIF(DATA!$DG$4:$GH$4,"&gt;5",DATA!$D24:$CE24))</f>
      </c>
      <c r="E36" s="196">
        <f t="shared" si="5"/>
      </c>
      <c r="F36" s="202">
        <f>IF($A36="","",IF($E$15&gt;0,C36*DATA!$AD$34+D36*DATA!$AD$35,""))</f>
      </c>
      <c r="G36" s="202">
        <f>IF($A36="","",IF(W36=$G$18,C36*DATA!$AF$34+D36*DATA!$AF$35,""))</f>
      </c>
      <c r="H36" s="202">
        <f>IF($A36="","",IF($W36=$H$18,C36*DATA!$AH$34+D36*DATA!$AH$35,""))</f>
      </c>
      <c r="I36" s="202">
        <f>IF($A36="","",IF($W36=$I$18,C36*DATA!$AJ$34+D36*DATA!$AJ$35,""))</f>
      </c>
      <c r="J36" s="202">
        <f>IF($A36="","",IF($W36=$J$18,C36*DATA!$AL$34+D36*DATA!$AL$35,""))</f>
      </c>
      <c r="K36" s="202">
        <f>IF($A36="","",IF($W36=$K$18,C36*DATA!AN51+$D$19*DATA!$AN$35,""))</f>
      </c>
      <c r="L36" s="202">
        <f>IF($A36="","",IF($W36=$L$18,C36*DATA!$AP$34+D36*DATA!$AP$35,""))</f>
      </c>
      <c r="M36" s="202">
        <f>IF($A36="","",IF($W36=$M$18,C36*DATA!$AR$34+D36*DATA!$AR$35,""))</f>
      </c>
      <c r="N36" s="203">
        <f>IF(A36="","",$E$13+SUM(STOCK!$B$4:B21)-SUM($F$19:F36))</f>
      </c>
      <c r="O36" s="203">
        <f>IF(A36="","",$F$13+SUM(STOCK!$C$4:C21)-SUM($G$19:G36))</f>
      </c>
      <c r="P36" s="203">
        <f>IF(A36="","",$G$13+SUM(STOCK!$D$4:D21)-SUM($H$19:H36))</f>
      </c>
      <c r="Q36" s="203">
        <f>IF(A36="","",$H$13+SUM(STOCK!$E$4:E21)-SUM($I$19:I36))</f>
      </c>
      <c r="R36" s="203">
        <f>IF(A36="","",$I$13+SUM(STOCK!$F$4:F21)-SUM($J$19:J36))</f>
      </c>
      <c r="S36" s="203">
        <f>IF(A36="","",$J$13+SUM(STOCK!$G$4:G21)-SUM($K$19:K36))</f>
      </c>
      <c r="T36" s="203">
        <f>IF(A36="","",$K$13+SUM(STOCK!$H$4:H21)-SUM($L$19:L36))</f>
      </c>
      <c r="U36" s="203">
        <f>IF(A36="","",$L$13+SUM(STOCK!$I$4:I21)-SUM($M$19:M36))</f>
      </c>
      <c r="W36" s="108"/>
      <c r="X36" s="122">
        <f t="shared" si="6"/>
      </c>
      <c r="Y36" s="122">
        <f t="shared" si="7"/>
      </c>
      <c r="AA36" s="108"/>
      <c r="AB36" s="108"/>
      <c r="AJ36" s="117">
        <v>18</v>
      </c>
      <c r="AK36" s="121">
        <f t="shared" si="8"/>
      </c>
      <c r="AL36" s="145">
        <f t="shared" si="9"/>
      </c>
      <c r="AM36" s="144">
        <f t="shared" si="10"/>
      </c>
      <c r="AN36" s="144">
        <f t="shared" si="11"/>
      </c>
      <c r="AO36" s="144">
        <f t="shared" si="12"/>
      </c>
      <c r="BA36" s="185">
        <f>IF(AA36="","",SUM($AA$19:AA36))</f>
      </c>
      <c r="BB36" s="185">
        <f>IF(AB36="","",SUM($AB$19:AB36))</f>
      </c>
      <c r="BC36" s="177">
        <f t="shared" si="13"/>
      </c>
      <c r="BD36" s="159">
        <f>IF(BE36="","",SUM($BE$19:BE36))</f>
      </c>
      <c r="BE36" s="159">
        <f t="shared" si="1"/>
      </c>
      <c r="BF36" s="157">
        <f t="shared" si="14"/>
      </c>
      <c r="BG36" s="178">
        <f t="shared" si="15"/>
      </c>
      <c r="BH36" s="190">
        <f t="shared" si="16"/>
      </c>
      <c r="BI36" s="190">
        <f t="shared" si="17"/>
      </c>
      <c r="BJ36" s="190">
        <f>IF(BQ36="","",(BH36*DATA!$AT$34+BI36*DATA!$AT$35))</f>
      </c>
      <c r="BK36" s="190">
        <f>IF(BP36="","",BH36*DATA!$AV$34+BI36*DATA!$AV$35)</f>
      </c>
      <c r="BL36" s="165">
        <f t="shared" si="19"/>
      </c>
      <c r="BM36" s="165">
        <f>IF(BG36="","",INDEX($BB$19:$BB$42,BK36,1))</f>
      </c>
    </row>
    <row r="37" spans="1:65" ht="15.75" customHeight="1">
      <c r="A37" s="16">
        <f>DATA!C25</f>
      </c>
      <c r="B37" s="196"/>
      <c r="C37" s="201">
        <f>IF(A37="","",SUMIF(DATA!$DG$4:$GH$4,"&lt;6",DATA!$D25:$CE25))</f>
      </c>
      <c r="D37" s="201">
        <f>IF(A37="","",SUMIF(DATA!$DG$4:$GH$4,"&gt;5",DATA!$D25:$CE25))</f>
      </c>
      <c r="E37" s="196">
        <f t="shared" si="5"/>
      </c>
      <c r="F37" s="202">
        <f>IF($A37="","",IF($E$15&gt;0,C37*DATA!$AD$34+D37*DATA!$AD$35,""))</f>
      </c>
      <c r="G37" s="202">
        <f>IF($A37="","",IF(W37=$G$18,C37*DATA!$AF$34+D37*DATA!$AF$35,""))</f>
      </c>
      <c r="H37" s="202">
        <f>IF($A37="","",IF($W37=$H$18,C37*DATA!$AH$34+D37*DATA!$AH$35,""))</f>
      </c>
      <c r="I37" s="202">
        <f>IF($A37="","",IF($W37=$I$18,C37*DATA!$AJ$34+D37*DATA!$AJ$35,""))</f>
      </c>
      <c r="J37" s="202">
        <f>IF($A37="","",IF($W37=$J$18,C37*DATA!$AL$34+D37*DATA!$AL$35,""))</f>
      </c>
      <c r="K37" s="202">
        <f>IF($A37="","",IF($W37=$K$18,C37*DATA!AN52+$D$19*DATA!$AN$35,""))</f>
      </c>
      <c r="L37" s="202">
        <f>IF($A37="","",IF($W37=$L$18,C37*DATA!$AP$34+D37*DATA!$AP$35,""))</f>
      </c>
      <c r="M37" s="202">
        <f>IF($A37="","",IF($W37=$M$18,C37*DATA!$AR$34+D37*DATA!$AR$35,""))</f>
      </c>
      <c r="N37" s="203">
        <f>IF(A37="","",$E$13+SUM(STOCK!$B$4:B22)-SUM($F$19:F37))</f>
      </c>
      <c r="O37" s="203">
        <f>IF(A37="","",$F$13+SUM(STOCK!$C$4:C22)-SUM($G$19:G37))</f>
      </c>
      <c r="P37" s="203">
        <f>IF(A37="","",$G$13+SUM(STOCK!$D$4:D22)-SUM($H$19:H37))</f>
      </c>
      <c r="Q37" s="203">
        <f>IF(A37="","",$H$13+SUM(STOCK!$E$4:E22)-SUM($I$19:I37))</f>
      </c>
      <c r="R37" s="203">
        <f>IF(A37="","",$I$13+SUM(STOCK!$F$4:F22)-SUM($J$19:J37))</f>
      </c>
      <c r="S37" s="203">
        <f>IF(A37="","",$J$13+SUM(STOCK!$G$4:G22)-SUM($K$19:K37))</f>
      </c>
      <c r="T37" s="203">
        <f>IF(A37="","",$K$13+SUM(STOCK!$H$4:H22)-SUM($L$19:L37))</f>
      </c>
      <c r="U37" s="203">
        <f>IF(A37="","",$L$13+SUM(STOCK!$I$4:I22)-SUM($M$19:M37))</f>
      </c>
      <c r="W37" s="108"/>
      <c r="X37" s="122">
        <f t="shared" si="6"/>
      </c>
      <c r="Y37" s="122">
        <f t="shared" si="7"/>
      </c>
      <c r="AA37" s="108"/>
      <c r="AB37" s="108"/>
      <c r="AJ37" s="117">
        <v>19</v>
      </c>
      <c r="AK37" s="121">
        <f t="shared" si="8"/>
      </c>
      <c r="AL37" s="145">
        <f t="shared" si="9"/>
      </c>
      <c r="AM37" s="144">
        <f t="shared" si="10"/>
      </c>
      <c r="AN37" s="144">
        <f t="shared" si="11"/>
      </c>
      <c r="AO37" s="144">
        <f t="shared" si="12"/>
      </c>
      <c r="BA37" s="185">
        <f>IF(AA37="","",SUM($AA$19:AA37))</f>
      </c>
      <c r="BB37" s="185">
        <f>IF(AB37="","",SUM($AB$19:AB37))</f>
      </c>
      <c r="BC37" s="177">
        <f t="shared" si="13"/>
      </c>
      <c r="BD37" s="159">
        <f>IF(BE37="","",SUM($BE$19:BE37))</f>
      </c>
      <c r="BE37" s="159">
        <f t="shared" si="1"/>
      </c>
      <c r="BF37" s="157">
        <f t="shared" si="14"/>
      </c>
      <c r="BG37" s="178">
        <f t="shared" si="15"/>
      </c>
      <c r="BH37" s="190">
        <f t="shared" si="16"/>
      </c>
      <c r="BI37" s="190">
        <f t="shared" si="17"/>
      </c>
      <c r="BJ37" s="190">
        <f>IF(BQ37="","",(BH37*DATA!$AT$34+BI37*DATA!$AT$35))</f>
      </c>
      <c r="BK37" s="190">
        <f>IF(BP37="","",BH37*DATA!$AV$34+BI37*DATA!$AV$35)</f>
      </c>
      <c r="BL37" s="165">
        <f t="shared" si="19"/>
      </c>
      <c r="BM37" s="165">
        <f>IF(BG37="","",INDEX($BB$19:$BB$42,BK37,1))</f>
      </c>
    </row>
    <row r="38" spans="1:64" ht="15.75" customHeight="1">
      <c r="A38" s="16">
        <f>DATA!C26</f>
      </c>
      <c r="B38" s="196"/>
      <c r="C38" s="201">
        <f>IF(A38="","",SUMIF(DATA!$DG$4:$GH$4,"&lt;6",DATA!$D26:$CE26))</f>
      </c>
      <c r="D38" s="201">
        <f>IF(A38="","",SUMIF(DATA!$DG$4:$GH$4,"&gt;5",DATA!$D26:$CE26))</f>
      </c>
      <c r="E38" s="196">
        <f t="shared" si="5"/>
      </c>
      <c r="F38" s="202">
        <f>IF($A38="","",IF($E$15&gt;0,C38*DATA!$AD$34+D38*DATA!$AD$35,""))</f>
      </c>
      <c r="G38" s="202">
        <f>IF($A38="","",IF(W38=$G$18,C38*DATA!$AF$34+D38*DATA!$AF$35,""))</f>
      </c>
      <c r="H38" s="202">
        <f>IF($A38="","",IF($W38=$H$18,C38*DATA!$AH$34+D38*DATA!$AH$35,""))</f>
      </c>
      <c r="I38" s="202">
        <f>IF($A38="","",IF($W38=$I$18,C38*DATA!$AJ$34+D38*DATA!$AJ$35,""))</f>
      </c>
      <c r="J38" s="202">
        <f>IF($A38="","",IF($W38=$J$18,C38*DATA!$AL$34+D38*DATA!$AL$35,""))</f>
      </c>
      <c r="K38" s="202">
        <f>IF($A38="","",IF($W38=$K$18,C38*DATA!AN53+$D$19*DATA!$AN$35,""))</f>
      </c>
      <c r="L38" s="202">
        <f>IF($A38="","",IF($W38=$L$18,C38*DATA!$AP$34+D38*DATA!$AP$35,""))</f>
      </c>
      <c r="M38" s="202">
        <f>IF($A38="","",IF($W38=$M$18,C38*DATA!$AR$34+D38*DATA!$AR$35,""))</f>
      </c>
      <c r="N38" s="203">
        <f>IF(A38="","",$E$13+SUM(STOCK!$B$4:B23)-SUM($F$19:F38))</f>
      </c>
      <c r="O38" s="203">
        <f>IF(A38="","",$F$13+SUM(STOCK!$C$4:C23)-SUM($G$19:G38))</f>
      </c>
      <c r="P38" s="203">
        <f>IF(A38="","",$G$13+SUM(STOCK!$D$4:D23)-SUM($H$19:H38))</f>
      </c>
      <c r="Q38" s="203">
        <f>IF(A38="","",$H$13+SUM(STOCK!$E$4:E23)-SUM($I$19:I38))</f>
      </c>
      <c r="R38" s="203">
        <f>IF(A38="","",$I$13+SUM(STOCK!$F$4:F23)-SUM($J$19:J38))</f>
      </c>
      <c r="S38" s="203">
        <f>IF(A38="","",$J$13+SUM(STOCK!$G$4:G23)-SUM($K$19:K38))</f>
      </c>
      <c r="T38" s="203">
        <f>IF(A38="","",$K$13+SUM(STOCK!$H$4:H23)-SUM($L$19:L38))</f>
      </c>
      <c r="U38" s="203">
        <f>IF(A38="","",$L$13+SUM(STOCK!$I$4:I23)-SUM($M$19:M38))</f>
      </c>
      <c r="W38" s="108"/>
      <c r="X38" s="122">
        <f t="shared" si="6"/>
      </c>
      <c r="Y38" s="122">
        <f t="shared" si="7"/>
      </c>
      <c r="AA38" s="108"/>
      <c r="AB38" s="108"/>
      <c r="AJ38" s="117">
        <v>20</v>
      </c>
      <c r="AK38" s="121">
        <f t="shared" si="8"/>
      </c>
      <c r="AL38" s="145">
        <f t="shared" si="9"/>
      </c>
      <c r="AM38" s="144">
        <f t="shared" si="10"/>
      </c>
      <c r="AN38" s="144">
        <f t="shared" si="11"/>
      </c>
      <c r="AO38" s="144">
        <f t="shared" si="12"/>
      </c>
      <c r="BA38" s="185">
        <f>IF(AA38="","",SUM($AA$19:AA38))</f>
      </c>
      <c r="BB38" s="185">
        <f>IF(AB38="","",SUM($AB$19:AB38))</f>
      </c>
      <c r="BC38" s="177">
        <f t="shared" si="13"/>
      </c>
      <c r="BD38" s="159">
        <f>IF(BE38="","",SUM($BE$19:BE38))</f>
      </c>
      <c r="BE38" s="159">
        <f t="shared" si="1"/>
      </c>
      <c r="BF38" s="157">
        <f t="shared" si="14"/>
      </c>
      <c r="BG38" s="178">
        <f t="shared" si="15"/>
      </c>
      <c r="BH38" s="190">
        <f t="shared" si="16"/>
      </c>
      <c r="BI38" s="190">
        <f t="shared" si="17"/>
      </c>
      <c r="BJ38" s="190">
        <f>IF(BQ38="","",(BH38*DATA!$AT$34+BI38*DATA!$AT$35))</f>
      </c>
      <c r="BK38" s="190">
        <f>IF(BP38="","",BH38*DATA!$AV$34+BI38*DATA!$AV$35)</f>
      </c>
      <c r="BL38" s="165">
        <f t="shared" si="19"/>
      </c>
    </row>
    <row r="39" spans="1:64" ht="15.75" customHeight="1">
      <c r="A39" s="16">
        <f>DATA!C27</f>
      </c>
      <c r="B39" s="196"/>
      <c r="C39" s="201">
        <f>IF(A39="","",SUMIF(DATA!$DG$4:$GH$4,"&lt;6",DATA!$D27:$CE27))</f>
      </c>
      <c r="D39" s="201">
        <f>IF(A39="","",SUMIF(DATA!$DG$4:$GH$4,"&gt;5",DATA!$D27:$CE27))</f>
      </c>
      <c r="E39" s="196">
        <f t="shared" si="5"/>
      </c>
      <c r="F39" s="202">
        <f>IF($A39="","",IF($E$15&gt;0,C39*DATA!$AD$34+D39*DATA!$AD$35,""))</f>
      </c>
      <c r="G39" s="202">
        <f>IF($A39="","",IF(W39=$G$18,C39*DATA!$AF$34+D39*DATA!$AF$35,""))</f>
      </c>
      <c r="H39" s="202">
        <f>IF($A39="","",IF($W39=$H$18,C39*DATA!$AH$34+D39*DATA!$AH$35,""))</f>
      </c>
      <c r="I39" s="202">
        <f>IF($A39="","",IF($W39=$I$18,C39*DATA!$AJ$34+D39*DATA!$AJ$35,""))</f>
      </c>
      <c r="J39" s="202">
        <f>IF($A39="","",IF($W39=$J$18,C39*DATA!$AL$34+D39*DATA!$AL$35,""))</f>
      </c>
      <c r="K39" s="202">
        <f>IF($A39="","",IF($W39=$K$18,C39*DATA!AN54+$D$19*DATA!$AN$35,""))</f>
      </c>
      <c r="L39" s="202">
        <f>IF($A39="","",IF($W39=$L$18,C39*DATA!$AP$34+D39*DATA!$AP$35,""))</f>
      </c>
      <c r="M39" s="202">
        <f>IF($A39="","",IF($W39=$M$18,C39*DATA!$AR$34+D39*DATA!$AR$35,""))</f>
      </c>
      <c r="N39" s="203">
        <f>IF(A39="","",$E$13+SUM(STOCK!$B$4:B24)-SUM($F$19:F39))</f>
      </c>
      <c r="O39" s="203">
        <f>IF(A39="","",$F$13+SUM(STOCK!$C$4:C24)-SUM($G$19:G39))</f>
      </c>
      <c r="P39" s="203">
        <f>IF(A39="","",$G$13+SUM(STOCK!$D$4:D24)-SUM($H$19:H39))</f>
      </c>
      <c r="Q39" s="203">
        <f>IF(A39="","",$H$13+SUM(STOCK!$E$4:E24)-SUM($I$19:I39))</f>
      </c>
      <c r="R39" s="203">
        <f>IF(A39="","",$I$13+SUM(STOCK!$F$4:F24)-SUM($J$19:J39))</f>
      </c>
      <c r="S39" s="203">
        <f>IF(A39="","",$J$13+SUM(STOCK!$G$4:G24)-SUM($K$19:K39))</f>
      </c>
      <c r="T39" s="203">
        <f>IF(A39="","",$K$13+SUM(STOCK!$H$4:H24)-SUM($L$19:L39))</f>
      </c>
      <c r="U39" s="203">
        <f>IF(A39="","",$L$13+SUM(STOCK!$I$4:I24)-SUM($M$19:M39))</f>
      </c>
      <c r="W39" s="108"/>
      <c r="X39" s="122">
        <f t="shared" si="6"/>
      </c>
      <c r="Y39" s="122">
        <f t="shared" si="7"/>
      </c>
      <c r="AA39" s="108"/>
      <c r="AB39" s="108"/>
      <c r="AJ39" s="117">
        <v>21</v>
      </c>
      <c r="AK39" s="121">
        <f t="shared" si="8"/>
      </c>
      <c r="AL39" s="145">
        <f t="shared" si="9"/>
      </c>
      <c r="AM39" s="144">
        <f t="shared" si="10"/>
      </c>
      <c r="AN39" s="144">
        <f t="shared" si="11"/>
      </c>
      <c r="AO39" s="144">
        <f t="shared" si="12"/>
      </c>
      <c r="BA39" s="185">
        <f>IF(AA39="","",SUM($AA$19:AA39))</f>
      </c>
      <c r="BB39" s="185">
        <f>IF(AB39="","",SUM($AB$19:AB39))</f>
      </c>
      <c r="BC39" s="177">
        <f t="shared" si="13"/>
      </c>
      <c r="BD39" s="159">
        <f>IF(BE39="","",SUM($BE$19:BE39))</f>
      </c>
      <c r="BE39" s="159">
        <f t="shared" si="1"/>
      </c>
      <c r="BF39" s="157">
        <f t="shared" si="14"/>
      </c>
      <c r="BG39" s="178">
        <f t="shared" si="15"/>
      </c>
      <c r="BH39" s="190">
        <f t="shared" si="16"/>
      </c>
      <c r="BI39" s="190">
        <f t="shared" si="17"/>
      </c>
      <c r="BJ39" s="190">
        <f>IF(BQ39="","",(BH39*DATA!$AT$34+BI39*DATA!$AT$35))</f>
      </c>
      <c r="BK39" s="190">
        <f>IF(BP39="","",BH39*DATA!$AV$34+BI39*DATA!$AV$35)</f>
      </c>
      <c r="BL39" s="165">
        <f t="shared" si="19"/>
      </c>
    </row>
    <row r="40" spans="1:64" ht="15.75" customHeight="1">
      <c r="A40" s="16">
        <f>DATA!C28</f>
      </c>
      <c r="B40" s="196"/>
      <c r="C40" s="201">
        <f>IF(A40="","",SUMIF(DATA!$DG$4:$GH$4,"&lt;6",DATA!$D28:$CE28))</f>
      </c>
      <c r="D40" s="201">
        <f>IF(A40="","",SUMIF(DATA!$DG$4:$GH$4,"&gt;5",DATA!$D28:$CE28))</f>
      </c>
      <c r="E40" s="196">
        <f t="shared" si="5"/>
      </c>
      <c r="F40" s="202">
        <f>IF($A40="","",IF($E$15&gt;0,C40*DATA!$AD$34+D40*DATA!$AD$35,""))</f>
      </c>
      <c r="G40" s="202">
        <f>IF($A40="","",IF(W40=$G$18,C40*DATA!$AF$34+D40*DATA!$AF$35,""))</f>
      </c>
      <c r="H40" s="202">
        <f>IF($A40="","",IF($W40=$H$18,C40*DATA!$AH$34+D40*DATA!$AH$35,""))</f>
      </c>
      <c r="I40" s="202">
        <f>IF($A40="","",IF($W40=$I$18,C40*DATA!$AJ$34+D40*DATA!$AJ$35,""))</f>
      </c>
      <c r="J40" s="202">
        <f>IF($A40="","",IF($W40=$J$18,C40*DATA!$AL$34+D40*DATA!$AL$35,""))</f>
      </c>
      <c r="K40" s="202">
        <f>IF($A40="","",IF($W40=$K$18,C40*DATA!AN55+$D$19*DATA!$AN$35,""))</f>
      </c>
      <c r="L40" s="202">
        <f>IF($A40="","",IF($W40=$L$18,C40*DATA!$AP$34+D40*DATA!$AP$35,""))</f>
      </c>
      <c r="M40" s="202">
        <f>IF($A40="","",IF($W40=$M$18,C40*DATA!$AR$34+D40*DATA!$AR$35,""))</f>
      </c>
      <c r="N40" s="203">
        <f>IF(A40="","",$E$13+SUM(STOCK!$B$4:B25)-SUM($F$19:F40))</f>
      </c>
      <c r="O40" s="203">
        <f>IF(A40="","",$F$13+SUM(STOCK!$C$4:C25)-SUM($G$19:G40))</f>
      </c>
      <c r="P40" s="203">
        <f>IF(A40="","",$G$13+SUM(STOCK!$D$4:D25)-SUM($H$19:H40))</f>
      </c>
      <c r="Q40" s="203">
        <f>IF(A40="","",$H$13+SUM(STOCK!$E$4:E25)-SUM($I$19:I40))</f>
      </c>
      <c r="R40" s="203">
        <f>IF(A40="","",$I$13+SUM(STOCK!$F$4:F25)-SUM($J$19:J40))</f>
      </c>
      <c r="S40" s="203">
        <f>IF(A40="","",$J$13+SUM(STOCK!$G$4:G25)-SUM($K$19:K40))</f>
      </c>
      <c r="T40" s="203">
        <f>IF(A40="","",$K$13+SUM(STOCK!$H$4:H25)-SUM($L$19:L40))</f>
      </c>
      <c r="U40" s="203">
        <f>IF(A40="","",$L$13+SUM(STOCK!$I$4:I25)-SUM($M$19:M40))</f>
      </c>
      <c r="W40" s="108"/>
      <c r="X40" s="122">
        <f t="shared" si="6"/>
      </c>
      <c r="Y40" s="122">
        <f t="shared" si="7"/>
      </c>
      <c r="AA40" s="108"/>
      <c r="AB40" s="108"/>
      <c r="AJ40" s="117">
        <v>22</v>
      </c>
      <c r="AK40" s="121">
        <f t="shared" si="8"/>
      </c>
      <c r="AL40" s="145">
        <f t="shared" si="9"/>
      </c>
      <c r="AM40" s="144">
        <f t="shared" si="10"/>
      </c>
      <c r="AN40" s="144">
        <f t="shared" si="11"/>
      </c>
      <c r="AO40" s="144">
        <f t="shared" si="12"/>
      </c>
      <c r="BA40" s="185">
        <f>IF(AA40="","",SUM($AA$19:AA40))</f>
      </c>
      <c r="BB40" s="185">
        <f>IF(AB40="","",SUM($AB$19:AB40))</f>
      </c>
      <c r="BC40" s="177">
        <f t="shared" si="13"/>
      </c>
      <c r="BD40" s="159">
        <f>IF(BE40="","",SUM($BE$19:BE40))</f>
      </c>
      <c r="BE40" s="159">
        <f t="shared" si="1"/>
      </c>
      <c r="BF40" s="157">
        <f t="shared" si="14"/>
      </c>
      <c r="BG40" s="178">
        <f t="shared" si="15"/>
      </c>
      <c r="BH40" s="190">
        <f t="shared" si="16"/>
      </c>
      <c r="BI40" s="190">
        <f t="shared" si="17"/>
      </c>
      <c r="BJ40" s="190">
        <f>IF(BQ40="","",(BH40*DATA!$AT$34+BI40*DATA!$AT$35))</f>
      </c>
      <c r="BK40" s="190">
        <f>IF(BP40="","",BH40*DATA!$AV$34+BI40*DATA!$AV$35)</f>
      </c>
      <c r="BL40" s="165">
        <f t="shared" si="19"/>
      </c>
    </row>
    <row r="41" spans="1:64" ht="15.75" customHeight="1">
      <c r="A41" s="16">
        <f>DATA!C29</f>
      </c>
      <c r="B41" s="196"/>
      <c r="C41" s="201">
        <f>IF(A41="","",SUMIF(DATA!$DG$4:$GH$4,"&lt;6",DATA!$D29:$CE29))</f>
      </c>
      <c r="D41" s="201">
        <f>IF(A41="","",SUMIF(DATA!$DG$4:$GH$4,"&gt;5",DATA!$D29:$CE29))</f>
      </c>
      <c r="E41" s="196">
        <f t="shared" si="5"/>
      </c>
      <c r="F41" s="202">
        <f>IF($A41="","",IF($E$15&gt;0,C41*DATA!$AD$34+D41*DATA!$AD$35,""))</f>
      </c>
      <c r="G41" s="202">
        <f>IF($A41="","",IF(W41=$G$18,C41*DATA!$AF$34+D41*DATA!$AF$35,""))</f>
      </c>
      <c r="H41" s="202">
        <f>IF($A41="","",IF($W41=$H$18,C41*DATA!$AH$34+D41*DATA!$AH$35,""))</f>
      </c>
      <c r="I41" s="202">
        <f>IF($A41="","",IF($W41=$I$18,C41*DATA!$AJ$34+D41*DATA!$AJ$35,""))</f>
      </c>
      <c r="J41" s="202">
        <f>IF($A41="","",IF($W41=$J$18,C41*DATA!$AL$34+D41*DATA!$AL$35,""))</f>
      </c>
      <c r="K41" s="202">
        <f>IF($A41="","",IF($W41=$K$18,C41*DATA!AN56+$D$19*DATA!$AN$35,""))</f>
      </c>
      <c r="L41" s="202">
        <f>IF($A41="","",IF($W41=$L$18,C41*DATA!$AP$34+D41*DATA!$AP$35,""))</f>
      </c>
      <c r="M41" s="202">
        <f>IF($A41="","",IF($W41=$M$18,C41*DATA!$AR$34+D41*DATA!$AR$35,""))</f>
      </c>
      <c r="N41" s="203">
        <f>IF(A41="","",$E$13+SUM(STOCK!$B$4:B26)-SUM($F$19:F41))</f>
      </c>
      <c r="O41" s="203">
        <f>IF(A41="","",$F$13+SUM(STOCK!$C$4:C26)-SUM($G$19:G41))</f>
      </c>
      <c r="P41" s="203">
        <f>IF(A41="","",$G$13+SUM(STOCK!$D$4:D26)-SUM($H$19:H41))</f>
      </c>
      <c r="Q41" s="203">
        <f>IF(A41="","",$H$13+SUM(STOCK!$E$4:E26)-SUM($I$19:I41))</f>
      </c>
      <c r="R41" s="203">
        <f>IF(A41="","",$I$13+SUM(STOCK!$F$4:F26)-SUM($J$19:J41))</f>
      </c>
      <c r="S41" s="203">
        <f>IF(A41="","",$J$13+SUM(STOCK!$G$4:G26)-SUM($K$19:K41))</f>
      </c>
      <c r="T41" s="203">
        <f>IF(A41="","",$K$13+SUM(STOCK!$H$4:H26)-SUM($L$19:L41))</f>
      </c>
      <c r="U41" s="203">
        <f>IF(A41="","",$L$13+SUM(STOCK!$I$4:I26)-SUM($M$19:M41))</f>
      </c>
      <c r="W41" s="108"/>
      <c r="X41" s="122">
        <f t="shared" si="6"/>
      </c>
      <c r="Y41" s="122">
        <f t="shared" si="7"/>
      </c>
      <c r="AA41" s="108"/>
      <c r="AB41" s="108"/>
      <c r="AJ41" s="117">
        <v>23</v>
      </c>
      <c r="AK41" s="121">
        <f t="shared" si="8"/>
      </c>
      <c r="AL41" s="145">
        <f t="shared" si="9"/>
      </c>
      <c r="AM41" s="144">
        <f t="shared" si="10"/>
      </c>
      <c r="AN41" s="144">
        <f t="shared" si="11"/>
      </c>
      <c r="AO41" s="144">
        <f t="shared" si="12"/>
      </c>
      <c r="BA41" s="185">
        <f>IF(AA41="","",SUM($AA$19:AA41))</f>
      </c>
      <c r="BB41" s="185">
        <f>IF(AB41="","",SUM($AB$19:AB41))</f>
      </c>
      <c r="BC41" s="177">
        <f t="shared" si="13"/>
      </c>
      <c r="BD41" s="159">
        <f>IF(BE41="","",SUM($BE$19:BE41))</f>
      </c>
      <c r="BE41" s="159">
        <f t="shared" si="1"/>
      </c>
      <c r="BF41" s="157">
        <f t="shared" si="14"/>
      </c>
      <c r="BG41" s="178">
        <f t="shared" si="15"/>
      </c>
      <c r="BH41" s="190">
        <f t="shared" si="16"/>
      </c>
      <c r="BI41" s="190">
        <f t="shared" si="17"/>
      </c>
      <c r="BJ41" s="190">
        <f>IF(BQ41="","",(BH41*DATA!$AT$34+BI41*DATA!$AT$35))</f>
      </c>
      <c r="BK41" s="190">
        <f>IF(BP41="","",BH41*DATA!$AV$34+BI41*DATA!$AV$35)</f>
      </c>
      <c r="BL41" s="165">
        <f t="shared" si="19"/>
      </c>
    </row>
    <row r="42" spans="1:64" ht="15.75" customHeight="1">
      <c r="A42" s="16">
        <f>DATA!C30</f>
      </c>
      <c r="B42" s="196"/>
      <c r="C42" s="201">
        <f>IF(A42="","",SUMIF(DATA!$DG$4:$GH$4,"&lt;6",DATA!$D30:$CE30))</f>
      </c>
      <c r="D42" s="201">
        <f>IF(A42="","",SUMIF(DATA!$DG$4:$GH$4,"&gt;5",DATA!$D30:$CE30))</f>
      </c>
      <c r="E42" s="196">
        <f t="shared" si="5"/>
      </c>
      <c r="F42" s="202">
        <f>IF($A42="","",IF($E$15&gt;0,C42*DATA!$AD$34+D42*DATA!$AD$35,""))</f>
      </c>
      <c r="G42" s="202">
        <f>IF($A42="","",IF(W42=$G$18,C42*DATA!$AF$34+D42*DATA!$AF$35,""))</f>
      </c>
      <c r="H42" s="202">
        <f>IF($A42="","",IF($W42=$H$18,C42*DATA!$AH$34+D42*DATA!$AH$35,""))</f>
      </c>
      <c r="I42" s="202">
        <f>IF($A42="","",IF($W42=$I$18,C42*DATA!$AJ$34+D42*DATA!$AJ$35,""))</f>
      </c>
      <c r="J42" s="202">
        <f>IF($A42="","",IF($W42=$J$18,C42*DATA!$AL$34+D42*DATA!$AL$35,""))</f>
      </c>
      <c r="K42" s="202">
        <f>IF($A42="","",IF($W42=$K$18,C42*DATA!AN57+$D$19*DATA!$AN$35,""))</f>
      </c>
      <c r="L42" s="202">
        <f>IF($A42="","",IF($W42=$L$18,C42*DATA!$AP$34+D42*DATA!$AP$35,""))</f>
      </c>
      <c r="M42" s="202">
        <f>IF($A42="","",IF($W42=$M$18,C42*DATA!$AR$34+D42*DATA!$AR$35,""))</f>
      </c>
      <c r="N42" s="203">
        <f>IF(A42="","",$E$13+SUM(STOCK!$B$4:B27)-SUM($F$19:F42))</f>
      </c>
      <c r="O42" s="203">
        <f>IF(A42="","",$F$13+SUM(STOCK!$C$4:C27)-SUM($G$19:G42))</f>
      </c>
      <c r="P42" s="203">
        <f>IF(A42="","",$G$13+SUM(STOCK!$D$4:D27)-SUM($H$19:H42))</f>
      </c>
      <c r="Q42" s="203">
        <f>IF(A42="","",$H$13+SUM(STOCK!$E$4:E27)-SUM($I$19:I42))</f>
      </c>
      <c r="R42" s="203">
        <f>IF(A42="","",$I$13+SUM(STOCK!$F$4:F27)-SUM($J$19:J42))</f>
      </c>
      <c r="S42" s="203">
        <f>IF(A42="","",$J$13+SUM(STOCK!$G$4:G27)-SUM($K$19:K42))</f>
      </c>
      <c r="T42" s="203">
        <f>IF(A42="","",$K$13+SUM(STOCK!$H$4:H27)-SUM($L$19:L42))</f>
      </c>
      <c r="U42" s="203">
        <f>IF(A42="","",$L$13+SUM(STOCK!$I$4:I27)-SUM($M$19:M42))</f>
      </c>
      <c r="W42" s="108"/>
      <c r="X42" s="122">
        <f t="shared" si="6"/>
      </c>
      <c r="Y42" s="122">
        <f t="shared" si="7"/>
      </c>
      <c r="AA42" s="108"/>
      <c r="AB42" s="108"/>
      <c r="AJ42" s="117">
        <v>24</v>
      </c>
      <c r="AK42" s="121">
        <f t="shared" si="8"/>
      </c>
      <c r="AL42" s="145">
        <f t="shared" si="9"/>
      </c>
      <c r="AM42" s="144">
        <f t="shared" si="10"/>
      </c>
      <c r="AN42" s="144">
        <f t="shared" si="11"/>
      </c>
      <c r="AO42" s="144">
        <f t="shared" si="12"/>
      </c>
      <c r="BA42" s="185">
        <f>IF(AA42="","",SUM($AA$19:AA42))</f>
      </c>
      <c r="BB42" s="185">
        <f>IF(AB42="","",SUM($AB$19:AB42))</f>
      </c>
      <c r="BC42" s="177">
        <f t="shared" si="13"/>
      </c>
      <c r="BD42" s="159">
        <f>IF(BE42="","",SUM($BE$19:BE42))</f>
      </c>
      <c r="BE42" s="159">
        <f t="shared" si="1"/>
      </c>
      <c r="BF42" s="157">
        <f t="shared" si="14"/>
      </c>
      <c r="BG42" s="178">
        <f t="shared" si="15"/>
      </c>
      <c r="BH42" s="190">
        <f t="shared" si="16"/>
      </c>
      <c r="BI42" s="190">
        <f t="shared" si="17"/>
      </c>
      <c r="BJ42" s="190">
        <f>IF(BQ42="","",(BH42*DATA!$AT$34+BI42*DATA!$AT$35))</f>
      </c>
      <c r="BK42" s="190">
        <f>IF(BP42="","",BH42*DATA!$AV$34+BI42*DATA!$AV$35)</f>
      </c>
      <c r="BL42" s="165">
        <f t="shared" si="19"/>
      </c>
    </row>
    <row r="43" spans="1:21" ht="18" customHeight="1">
      <c r="A43" s="92"/>
      <c r="B43" s="204">
        <f>SUM(B19:B42)</f>
        <v>0</v>
      </c>
      <c r="C43" s="205">
        <f aca="true" t="shared" si="20" ref="C43:M43">SUM(C19:C42)</f>
        <v>17746</v>
      </c>
      <c r="D43" s="205">
        <f t="shared" si="20"/>
        <v>9856</v>
      </c>
      <c r="E43" s="197">
        <f t="shared" si="20"/>
        <v>27602</v>
      </c>
      <c r="F43" s="206">
        <f t="shared" si="20"/>
        <v>3253</v>
      </c>
      <c r="G43" s="206">
        <f t="shared" si="20"/>
        <v>68.44</v>
      </c>
      <c r="H43" s="206">
        <f t="shared" si="20"/>
        <v>0</v>
      </c>
      <c r="I43" s="206">
        <f t="shared" si="20"/>
        <v>0</v>
      </c>
      <c r="J43" s="206">
        <f t="shared" si="20"/>
        <v>68.21</v>
      </c>
      <c r="K43" s="206">
        <f t="shared" si="20"/>
        <v>0</v>
      </c>
      <c r="L43" s="206">
        <f t="shared" si="20"/>
        <v>68.03999999999999</v>
      </c>
      <c r="M43" s="206">
        <f t="shared" si="20"/>
        <v>0</v>
      </c>
      <c r="N43" s="206">
        <f>'NMP-1(New)'!G31</f>
        <v>347</v>
      </c>
      <c r="O43" s="206">
        <f>'NMP-1(New)'!G32</f>
        <v>785.56</v>
      </c>
      <c r="P43" s="206">
        <f>'NMP-1(New)'!G33</f>
        <v>454</v>
      </c>
      <c r="Q43" s="206">
        <f>'NMP-1(New)'!G34</f>
        <v>364</v>
      </c>
      <c r="R43" s="206">
        <f>'NMP-1(New)'!G35</f>
        <v>264.79</v>
      </c>
      <c r="S43" s="206">
        <f>'NMP-1(New)'!G36</f>
        <v>423</v>
      </c>
      <c r="T43" s="206">
        <f>'NMP-1(New)'!G37</f>
        <v>331.96000000000004</v>
      </c>
      <c r="U43" s="206">
        <f>'NMP-1(New)'!G38</f>
        <v>0</v>
      </c>
    </row>
    <row r="44" spans="2:19" ht="18" customHeight="1">
      <c r="B44" s="300" t="str">
        <f>IF(DATA!K39="","",DATA!K39)</f>
        <v>Abdul Majeed K.T.</v>
      </c>
      <c r="C44" s="300"/>
      <c r="D44" s="300"/>
      <c r="E44" s="300"/>
      <c r="F44" s="300"/>
      <c r="N44" s="300" t="str">
        <f>DATA!K38</f>
        <v>Lijin G.S.</v>
      </c>
      <c r="O44" s="300"/>
      <c r="P44" s="300"/>
      <c r="Q44" s="300"/>
      <c r="R44" s="300"/>
      <c r="S44" s="300"/>
    </row>
    <row r="45" spans="2:14" ht="18" customHeight="1">
      <c r="B45" s="300" t="str">
        <f>IF(B44="","","(Signature of Teacher in Charge)")</f>
        <v>(Signature of Teacher in Charge)</v>
      </c>
      <c r="C45" s="300"/>
      <c r="D45" s="300"/>
      <c r="E45" s="300"/>
      <c r="F45" s="300"/>
      <c r="G45" s="300"/>
      <c r="N45" s="5" t="s">
        <v>60</v>
      </c>
    </row>
    <row r="48" spans="7:8" ht="18" customHeight="1">
      <c r="G48" s="141"/>
      <c r="H48" s="141"/>
    </row>
    <row r="49" spans="7:8" ht="18" customHeight="1">
      <c r="G49" s="141"/>
      <c r="H49" s="141"/>
    </row>
  </sheetData>
  <sheetProtection/>
  <mergeCells count="66">
    <mergeCell ref="BA15:BC15"/>
    <mergeCell ref="BA14:BC14"/>
    <mergeCell ref="BF17:BF18"/>
    <mergeCell ref="BG17:BG18"/>
    <mergeCell ref="BA16:BC16"/>
    <mergeCell ref="BA17:BA18"/>
    <mergeCell ref="BB17:BB18"/>
    <mergeCell ref="BC17:BC18"/>
    <mergeCell ref="BD17:BD18"/>
    <mergeCell ref="BE17:BE18"/>
    <mergeCell ref="AE17:AE18"/>
    <mergeCell ref="AA17:AA18"/>
    <mergeCell ref="AB17:AB18"/>
    <mergeCell ref="BH17:BH18"/>
    <mergeCell ref="BJ17:BJ18"/>
    <mergeCell ref="BK17:BK18"/>
    <mergeCell ref="BI17:BI18"/>
    <mergeCell ref="A17:E17"/>
    <mergeCell ref="F17:M17"/>
    <mergeCell ref="A16:D16"/>
    <mergeCell ref="A14:D14"/>
    <mergeCell ref="A15:D15"/>
    <mergeCell ref="AD17:AD18"/>
    <mergeCell ref="O7:P7"/>
    <mergeCell ref="O8:P8"/>
    <mergeCell ref="O9:P9"/>
    <mergeCell ref="B45:G45"/>
    <mergeCell ref="O11:P11"/>
    <mergeCell ref="AG17:AG19"/>
    <mergeCell ref="AD16:AG16"/>
    <mergeCell ref="AF17:AF18"/>
    <mergeCell ref="B44:F44"/>
    <mergeCell ref="N44:S44"/>
    <mergeCell ref="Q10:U10"/>
    <mergeCell ref="Q7:U7"/>
    <mergeCell ref="Q8:U8"/>
    <mergeCell ref="Q9:U9"/>
    <mergeCell ref="Y17:Y18"/>
    <mergeCell ref="W17:W18"/>
    <mergeCell ref="X17:X18"/>
    <mergeCell ref="Q11:U11"/>
    <mergeCell ref="N17:U17"/>
    <mergeCell ref="O10:P10"/>
    <mergeCell ref="O5:P5"/>
    <mergeCell ref="O6:P6"/>
    <mergeCell ref="A1:U1"/>
    <mergeCell ref="A2:U2"/>
    <mergeCell ref="R3:U3"/>
    <mergeCell ref="O3:Q3"/>
    <mergeCell ref="A4:C4"/>
    <mergeCell ref="D4:K4"/>
    <mergeCell ref="Q5:U5"/>
    <mergeCell ref="Q6:U6"/>
    <mergeCell ref="I9:J9"/>
    <mergeCell ref="I5:J5"/>
    <mergeCell ref="I6:J6"/>
    <mergeCell ref="I7:J7"/>
    <mergeCell ref="I8:J8"/>
    <mergeCell ref="A5:D5"/>
    <mergeCell ref="A6:D6"/>
    <mergeCell ref="A7:D7"/>
    <mergeCell ref="A8:D8"/>
    <mergeCell ref="A9:D9"/>
    <mergeCell ref="A12:D12"/>
    <mergeCell ref="A13:D13"/>
    <mergeCell ref="A11:D11"/>
  </mergeCells>
  <conditionalFormatting sqref="X19:X42">
    <cfRule type="containsText" priority="7" dxfId="4" operator="containsText" text="No ">
      <formula>NOT(ISERROR(SEARCH("No ",X19)))</formula>
    </cfRule>
    <cfRule type="cellIs" priority="8" dxfId="4" operator="lessThan">
      <formula>0</formula>
    </cfRule>
  </conditionalFormatting>
  <conditionalFormatting sqref="Y19:Y42">
    <cfRule type="notContainsBlanks" priority="4" dxfId="5">
      <formula>LEN(TRIM(Y19))&gt;0</formula>
    </cfRule>
  </conditionalFormatting>
  <conditionalFormatting sqref="BF19:BK42">
    <cfRule type="notContainsBlanks" priority="3" dxfId="6">
      <formula>LEN(TRIM(BF19))&gt;0</formula>
    </cfRule>
  </conditionalFormatting>
  <printOptions horizontalCentered="1"/>
  <pageMargins left="0.03937007874015748" right="0.03937007874015748" top="0.35433070866141736" bottom="0.15748031496062992" header="0.31496062992125984" footer="0.15748031496062992"/>
  <pageSetup blackAndWhite="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48"/>
  <sheetViews>
    <sheetView zoomScalePageLayoutView="0" workbookViewId="0" topLeftCell="A34">
      <selection activeCell="M43" sqref="M43:P43"/>
    </sheetView>
  </sheetViews>
  <sheetFormatPr defaultColWidth="9.140625" defaultRowHeight="19.5" customHeight="1"/>
  <cols>
    <col min="1" max="17" width="4.7109375" style="76" customWidth="1"/>
    <col min="18" max="22" width="5.140625" style="76" customWidth="1"/>
    <col min="23" max="16384" width="8.8515625" style="76" customWidth="1"/>
  </cols>
  <sheetData>
    <row r="1" spans="1:21" ht="16.5" customHeight="1">
      <c r="A1" s="314" t="s">
        <v>90</v>
      </c>
      <c r="B1" s="314"/>
      <c r="C1" s="314"/>
      <c r="D1" s="314"/>
      <c r="E1" s="314"/>
      <c r="F1" s="314"/>
      <c r="G1" s="314"/>
      <c r="H1" s="314"/>
      <c r="I1" s="314"/>
      <c r="J1" s="314"/>
      <c r="K1" s="314"/>
      <c r="L1" s="314"/>
      <c r="M1" s="314"/>
      <c r="N1" s="314"/>
      <c r="O1" s="314"/>
      <c r="P1" s="314"/>
      <c r="Q1" s="314"/>
      <c r="R1" s="314"/>
      <c r="S1" s="314"/>
      <c r="T1" s="314"/>
      <c r="U1" s="314"/>
    </row>
    <row r="2" spans="1:21" ht="16.5" customHeight="1">
      <c r="A2" s="314" t="s">
        <v>91</v>
      </c>
      <c r="B2" s="314"/>
      <c r="C2" s="314"/>
      <c r="D2" s="314"/>
      <c r="E2" s="314"/>
      <c r="F2" s="314"/>
      <c r="G2" s="314"/>
      <c r="H2" s="314"/>
      <c r="I2" s="314"/>
      <c r="J2" s="314"/>
      <c r="K2" s="314"/>
      <c r="L2" s="314"/>
      <c r="M2" s="314"/>
      <c r="N2" s="314"/>
      <c r="O2" s="314"/>
      <c r="P2" s="314"/>
      <c r="Q2" s="314"/>
      <c r="R2" s="314"/>
      <c r="S2" s="314"/>
      <c r="T2" s="314"/>
      <c r="U2" s="314"/>
    </row>
    <row r="3" spans="1:21" ht="16.5" customHeight="1">
      <c r="A3" s="314" t="s">
        <v>92</v>
      </c>
      <c r="B3" s="314"/>
      <c r="C3" s="314"/>
      <c r="D3" s="314"/>
      <c r="E3" s="314"/>
      <c r="F3" s="314"/>
      <c r="G3" s="314"/>
      <c r="H3" s="314"/>
      <c r="I3" s="314"/>
      <c r="J3" s="314"/>
      <c r="K3" s="314"/>
      <c r="L3" s="314"/>
      <c r="M3" s="314"/>
      <c r="N3" s="314"/>
      <c r="O3" s="314"/>
      <c r="P3" s="314"/>
      <c r="Q3" s="314"/>
      <c r="R3" s="314"/>
      <c r="S3" s="314"/>
      <c r="T3" s="314"/>
      <c r="U3" s="314"/>
    </row>
    <row r="4" spans="1:21" ht="9" customHeight="1">
      <c r="A4" s="77"/>
      <c r="B4" s="77"/>
      <c r="C4" s="77"/>
      <c r="D4" s="77"/>
      <c r="E4" s="77"/>
      <c r="F4" s="77"/>
      <c r="G4" s="77"/>
      <c r="H4" s="77"/>
      <c r="I4" s="77"/>
      <c r="J4" s="77"/>
      <c r="K4" s="77"/>
      <c r="L4" s="77"/>
      <c r="M4" s="77"/>
      <c r="N4" s="77"/>
      <c r="O4" s="77"/>
      <c r="P4" s="77"/>
      <c r="Q4" s="77"/>
      <c r="R4" s="77"/>
      <c r="S4" s="77"/>
      <c r="T4" s="77"/>
      <c r="U4" s="77"/>
    </row>
    <row r="5" spans="13:20" ht="16.5" customHeight="1">
      <c r="M5" s="316" t="s">
        <v>93</v>
      </c>
      <c r="N5" s="316"/>
      <c r="O5" s="316"/>
      <c r="P5" s="316"/>
      <c r="Q5" s="316"/>
      <c r="R5" s="316"/>
      <c r="S5" s="315">
        <f>DATA!J3</f>
        <v>15</v>
      </c>
      <c r="T5" s="315"/>
    </row>
    <row r="6" spans="12:20" ht="9" customHeight="1">
      <c r="L6" s="79"/>
      <c r="M6" s="27"/>
      <c r="N6" s="27"/>
      <c r="O6" s="27"/>
      <c r="P6" s="27"/>
      <c r="Q6" s="27"/>
      <c r="R6" s="27"/>
      <c r="S6" s="78"/>
      <c r="T6" s="78"/>
    </row>
    <row r="7" spans="5:17" s="10" customFormat="1" ht="16.5" customHeight="1">
      <c r="E7" s="317" t="s">
        <v>53</v>
      </c>
      <c r="F7" s="317"/>
      <c r="G7" s="317"/>
      <c r="H7" s="317"/>
      <c r="I7" s="317"/>
      <c r="J7" s="317"/>
      <c r="K7" s="317"/>
      <c r="L7" s="318">
        <f>DATA!K35</f>
        <v>48086</v>
      </c>
      <c r="M7" s="318"/>
      <c r="N7" s="318"/>
      <c r="O7" s="318"/>
      <c r="P7" s="318"/>
      <c r="Q7" s="318"/>
    </row>
    <row r="8" spans="5:17" s="10" customFormat="1" ht="16.5" customHeight="1">
      <c r="E8" s="317" t="s">
        <v>52</v>
      </c>
      <c r="F8" s="317"/>
      <c r="G8" s="317"/>
      <c r="H8" s="317"/>
      <c r="I8" s="317"/>
      <c r="J8" s="317"/>
      <c r="K8" s="317"/>
      <c r="L8" s="318" t="str">
        <f>DATA!K33</f>
        <v>S.S.H.S.S. Moorkanad</v>
      </c>
      <c r="M8" s="318"/>
      <c r="N8" s="318"/>
      <c r="O8" s="318"/>
      <c r="P8" s="318"/>
      <c r="Q8" s="318"/>
    </row>
    <row r="9" spans="5:17" s="10" customFormat="1" ht="16.5" customHeight="1">
      <c r="E9" s="317" t="s">
        <v>54</v>
      </c>
      <c r="F9" s="317"/>
      <c r="G9" s="317"/>
      <c r="H9" s="317"/>
      <c r="I9" s="317"/>
      <c r="J9" s="317"/>
      <c r="K9" s="317"/>
      <c r="L9" s="318" t="str">
        <f>DATA!K36</f>
        <v>Areacode</v>
      </c>
      <c r="M9" s="318"/>
      <c r="N9" s="318"/>
      <c r="O9" s="318"/>
      <c r="P9" s="318"/>
      <c r="Q9" s="318"/>
    </row>
    <row r="10" spans="5:17" s="10" customFormat="1" ht="16.5" customHeight="1">
      <c r="E10" s="317" t="s">
        <v>94</v>
      </c>
      <c r="F10" s="317"/>
      <c r="G10" s="317"/>
      <c r="H10" s="317"/>
      <c r="I10" s="317"/>
      <c r="J10" s="317"/>
      <c r="K10" s="317"/>
      <c r="L10" s="318" t="str">
        <f>'K2(A4)'!R3</f>
        <v>September 2010</v>
      </c>
      <c r="M10" s="318"/>
      <c r="N10" s="318"/>
      <c r="O10" s="318"/>
      <c r="P10" s="318"/>
      <c r="Q10" s="318"/>
    </row>
    <row r="11" s="10" customFormat="1" ht="15.75" customHeight="1"/>
    <row r="12" spans="5:17" s="10" customFormat="1" ht="16.5" customHeight="1">
      <c r="E12" s="318" t="s">
        <v>95</v>
      </c>
      <c r="F12" s="318"/>
      <c r="G12" s="318"/>
      <c r="H12" s="318" t="s">
        <v>96</v>
      </c>
      <c r="I12" s="318"/>
      <c r="J12" s="318"/>
      <c r="K12" s="318" t="s">
        <v>97</v>
      </c>
      <c r="L12" s="318"/>
      <c r="M12" s="318"/>
      <c r="N12" s="318" t="s">
        <v>9</v>
      </c>
      <c r="O12" s="318"/>
      <c r="P12" s="318"/>
      <c r="Q12" s="318"/>
    </row>
    <row r="13" spans="5:17" s="10" customFormat="1" ht="16.5" customHeight="1">
      <c r="E13" s="316" t="s">
        <v>6</v>
      </c>
      <c r="F13" s="316"/>
      <c r="G13" s="316"/>
      <c r="H13" s="316" t="s">
        <v>126</v>
      </c>
      <c r="I13" s="316"/>
      <c r="J13" s="316"/>
      <c r="K13" s="316" t="s">
        <v>126</v>
      </c>
      <c r="L13" s="316"/>
      <c r="M13" s="316"/>
      <c r="N13" s="316" t="s">
        <v>126</v>
      </c>
      <c r="O13" s="316"/>
      <c r="P13" s="316"/>
      <c r="Q13" s="316"/>
    </row>
    <row r="14" spans="5:17" s="10" customFormat="1" ht="16.5" customHeight="1">
      <c r="E14" s="319">
        <v>1</v>
      </c>
      <c r="F14" s="320"/>
      <c r="G14" s="321"/>
      <c r="H14" s="316">
        <f>IF(DATA!CQ6=0,"Nil",DATA!CQ6)</f>
        <v>1609</v>
      </c>
      <c r="I14" s="316"/>
      <c r="J14" s="316"/>
      <c r="K14" s="316">
        <f>IF(DATA!CR6=0,"Nil",DATA!CR6)</f>
        <v>1752</v>
      </c>
      <c r="L14" s="316"/>
      <c r="M14" s="316"/>
      <c r="N14" s="316">
        <f>IF(AND(H14="Nil",K14="Nil"),"Nil",SUM(H14:M14))</f>
        <v>3361</v>
      </c>
      <c r="O14" s="316"/>
      <c r="P14" s="316"/>
      <c r="Q14" s="316"/>
    </row>
    <row r="15" spans="5:17" s="10" customFormat="1" ht="16.5" customHeight="1">
      <c r="E15" s="319">
        <v>2</v>
      </c>
      <c r="F15" s="320"/>
      <c r="G15" s="321"/>
      <c r="H15" s="316">
        <f>IF(DATA!CQ7=0,"Nil",DATA!CQ7)</f>
        <v>1762</v>
      </c>
      <c r="I15" s="316"/>
      <c r="J15" s="316"/>
      <c r="K15" s="316">
        <f>IF(DATA!CR7=0,"Nil",DATA!CR7)</f>
        <v>1838</v>
      </c>
      <c r="L15" s="316"/>
      <c r="M15" s="316"/>
      <c r="N15" s="316">
        <f aca="true" t="shared" si="0" ref="N15:N23">IF(AND(H15="Nil",K15="Nil"),"Nil",SUM(H15:M15))</f>
        <v>3600</v>
      </c>
      <c r="O15" s="316"/>
      <c r="P15" s="316"/>
      <c r="Q15" s="316"/>
    </row>
    <row r="16" spans="5:17" s="10" customFormat="1" ht="16.5" customHeight="1">
      <c r="E16" s="319">
        <v>3</v>
      </c>
      <c r="F16" s="320"/>
      <c r="G16" s="321"/>
      <c r="H16" s="316">
        <f>IF(DATA!CQ8=0,"Nil",DATA!CQ8)</f>
        <v>1758</v>
      </c>
      <c r="I16" s="316"/>
      <c r="J16" s="316"/>
      <c r="K16" s="316">
        <f>IF(DATA!CR8=0,"Nil",DATA!CR8)</f>
        <v>1836</v>
      </c>
      <c r="L16" s="316"/>
      <c r="M16" s="316"/>
      <c r="N16" s="316">
        <f t="shared" si="0"/>
        <v>3594</v>
      </c>
      <c r="O16" s="316"/>
      <c r="P16" s="316"/>
      <c r="Q16" s="316"/>
    </row>
    <row r="17" spans="5:17" s="10" customFormat="1" ht="16.5" customHeight="1">
      <c r="E17" s="319">
        <v>4</v>
      </c>
      <c r="F17" s="320"/>
      <c r="G17" s="321"/>
      <c r="H17" s="316">
        <f>IF(DATA!CQ9=0,"Nil",DATA!CQ9)</f>
        <v>1756</v>
      </c>
      <c r="I17" s="316"/>
      <c r="J17" s="316"/>
      <c r="K17" s="316">
        <f>IF(DATA!CR9=0,"Nil",DATA!CR9)</f>
        <v>1839</v>
      </c>
      <c r="L17" s="316"/>
      <c r="M17" s="316"/>
      <c r="N17" s="316">
        <f t="shared" si="0"/>
        <v>3595</v>
      </c>
      <c r="O17" s="316"/>
      <c r="P17" s="316"/>
      <c r="Q17" s="316"/>
    </row>
    <row r="18" spans="5:17" s="10" customFormat="1" ht="16.5" customHeight="1">
      <c r="E18" s="319">
        <v>5</v>
      </c>
      <c r="F18" s="320"/>
      <c r="G18" s="321"/>
      <c r="H18" s="316">
        <f>IF(DATA!CQ10=0,"Nil",DATA!CQ10)</f>
        <v>1760</v>
      </c>
      <c r="I18" s="316"/>
      <c r="J18" s="316"/>
      <c r="K18" s="316">
        <f>IF(DATA!CR10=0,"Nil",DATA!CR10)</f>
        <v>1836</v>
      </c>
      <c r="L18" s="316"/>
      <c r="M18" s="316"/>
      <c r="N18" s="316">
        <f t="shared" si="0"/>
        <v>3596</v>
      </c>
      <c r="O18" s="316"/>
      <c r="P18" s="316"/>
      <c r="Q18" s="316"/>
    </row>
    <row r="19" spans="5:17" s="10" customFormat="1" ht="16.5" customHeight="1">
      <c r="E19" s="319">
        <v>6</v>
      </c>
      <c r="F19" s="320"/>
      <c r="G19" s="321"/>
      <c r="H19" s="316">
        <f>IF(DATA!CQ11=0,"Nil",DATA!CQ11)</f>
        <v>1677</v>
      </c>
      <c r="I19" s="316"/>
      <c r="J19" s="316"/>
      <c r="K19" s="316">
        <f>IF(DATA!CR11=0,"Nil",DATA!CR11)</f>
        <v>1885</v>
      </c>
      <c r="L19" s="316"/>
      <c r="M19" s="316"/>
      <c r="N19" s="316">
        <f t="shared" si="0"/>
        <v>3562</v>
      </c>
      <c r="O19" s="316"/>
      <c r="P19" s="316"/>
      <c r="Q19" s="316"/>
    </row>
    <row r="20" spans="5:17" s="10" customFormat="1" ht="16.5" customHeight="1">
      <c r="E20" s="319">
        <v>7</v>
      </c>
      <c r="F20" s="320"/>
      <c r="G20" s="321"/>
      <c r="H20" s="316">
        <f>IF(DATA!CQ12=0,"Nil",DATA!CQ12)</f>
        <v>1493</v>
      </c>
      <c r="I20" s="316"/>
      <c r="J20" s="316"/>
      <c r="K20" s="316">
        <f>IF(DATA!CR12=0,"Nil",DATA!CR12)</f>
        <v>1550</v>
      </c>
      <c r="L20" s="316"/>
      <c r="M20" s="316"/>
      <c r="N20" s="316">
        <f t="shared" si="0"/>
        <v>3043</v>
      </c>
      <c r="O20" s="316"/>
      <c r="P20" s="316"/>
      <c r="Q20" s="316"/>
    </row>
    <row r="21" spans="5:17" s="10" customFormat="1" ht="16.5" customHeight="1">
      <c r="E21" s="319">
        <v>8</v>
      </c>
      <c r="F21" s="320"/>
      <c r="G21" s="321"/>
      <c r="H21" s="316">
        <f>IF(DATA!CQ13=0,"Nil",DATA!CQ13)</f>
        <v>1718</v>
      </c>
      <c r="I21" s="316"/>
      <c r="J21" s="316"/>
      <c r="K21" s="316">
        <f>IF(DATA!CR13=0,"Nil",DATA!CR13)</f>
        <v>1533</v>
      </c>
      <c r="L21" s="316"/>
      <c r="M21" s="316"/>
      <c r="N21" s="316">
        <f t="shared" si="0"/>
        <v>3251</v>
      </c>
      <c r="O21" s="316"/>
      <c r="P21" s="316"/>
      <c r="Q21" s="316"/>
    </row>
    <row r="22" spans="5:17" s="10" customFormat="1" ht="16.5" customHeight="1">
      <c r="E22" s="319">
        <v>9</v>
      </c>
      <c r="F22" s="320"/>
      <c r="G22" s="321"/>
      <c r="H22" s="316" t="str">
        <f>IF(DATA!CQ14=0,"Nil",DATA!CQ14)</f>
        <v>Nil</v>
      </c>
      <c r="I22" s="316"/>
      <c r="J22" s="316"/>
      <c r="K22" s="316" t="str">
        <f>IF(DATA!CR14=0,"Nil",DATA!CR14)</f>
        <v>Nil</v>
      </c>
      <c r="L22" s="316"/>
      <c r="M22" s="316"/>
      <c r="N22" s="316" t="str">
        <f t="shared" si="0"/>
        <v>Nil</v>
      </c>
      <c r="O22" s="316"/>
      <c r="P22" s="316"/>
      <c r="Q22" s="316"/>
    </row>
    <row r="23" spans="5:17" s="10" customFormat="1" ht="16.5" customHeight="1">
      <c r="E23" s="319">
        <v>10</v>
      </c>
      <c r="F23" s="320"/>
      <c r="G23" s="321"/>
      <c r="H23" s="316" t="str">
        <f>IF(DATA!CQ15=0,"Nil",DATA!CQ15)</f>
        <v>Nil</v>
      </c>
      <c r="I23" s="316"/>
      <c r="J23" s="316"/>
      <c r="K23" s="316" t="str">
        <f>IF(DATA!CR15=0,"Nil",DATA!CR15)</f>
        <v>Nil</v>
      </c>
      <c r="L23" s="316"/>
      <c r="M23" s="316"/>
      <c r="N23" s="316" t="str">
        <f t="shared" si="0"/>
        <v>Nil</v>
      </c>
      <c r="O23" s="316"/>
      <c r="P23" s="316"/>
      <c r="Q23" s="316"/>
    </row>
    <row r="24" spans="5:17" s="10" customFormat="1" ht="16.5" customHeight="1">
      <c r="E24" s="316" t="s">
        <v>98</v>
      </c>
      <c r="F24" s="316"/>
      <c r="G24" s="316"/>
      <c r="H24" s="316"/>
      <c r="I24" s="316"/>
      <c r="J24" s="316"/>
      <c r="K24" s="316"/>
      <c r="L24" s="316"/>
      <c r="M24" s="316"/>
      <c r="N24" s="316"/>
      <c r="O24" s="316"/>
      <c r="P24" s="316"/>
      <c r="Q24" s="316"/>
    </row>
    <row r="25" spans="5:17" s="10" customFormat="1" ht="21" customHeight="1">
      <c r="E25" s="315" t="s">
        <v>9</v>
      </c>
      <c r="F25" s="315"/>
      <c r="G25" s="315"/>
      <c r="H25" s="315">
        <f>SUM(H13:J24)</f>
        <v>13533</v>
      </c>
      <c r="I25" s="315"/>
      <c r="J25" s="315"/>
      <c r="K25" s="315">
        <f>SUM(K13:M24)</f>
        <v>14069</v>
      </c>
      <c r="L25" s="315"/>
      <c r="M25" s="315"/>
      <c r="N25" s="315">
        <f>SUM(N13:Q24)</f>
        <v>27602</v>
      </c>
      <c r="O25" s="315"/>
      <c r="P25" s="315"/>
      <c r="Q25" s="315"/>
    </row>
    <row r="26" spans="1:21" s="10" customFormat="1" ht="18" customHeight="1">
      <c r="A26" s="80"/>
      <c r="B26" s="80"/>
      <c r="C26" s="80"/>
      <c r="D26" s="80"/>
      <c r="E26" s="78"/>
      <c r="F26" s="78"/>
      <c r="G26" s="78"/>
      <c r="H26" s="78"/>
      <c r="I26" s="78"/>
      <c r="J26" s="78"/>
      <c r="K26" s="78"/>
      <c r="L26" s="78"/>
      <c r="M26" s="78"/>
      <c r="N26" s="78"/>
      <c r="O26" s="78"/>
      <c r="P26" s="78"/>
      <c r="Q26" s="78"/>
      <c r="R26" s="80"/>
      <c r="S26" s="80"/>
      <c r="T26" s="80"/>
      <c r="U26" s="80"/>
    </row>
    <row r="27" spans="2:19" s="10" customFormat="1" ht="19.5" customHeight="1">
      <c r="B27" s="324" t="s">
        <v>103</v>
      </c>
      <c r="C27" s="324"/>
      <c r="D27" s="324"/>
      <c r="E27" s="324"/>
      <c r="F27" s="324"/>
      <c r="G27" s="324"/>
      <c r="H27" s="324"/>
      <c r="I27" s="324"/>
      <c r="J27" s="324"/>
      <c r="K27" s="324"/>
      <c r="L27" s="324"/>
      <c r="M27" s="324"/>
      <c r="N27" s="324"/>
      <c r="O27" s="324"/>
      <c r="P27" s="324"/>
      <c r="Q27" s="324"/>
      <c r="R27" s="324"/>
      <c r="S27" s="324"/>
    </row>
    <row r="28" spans="2:19" s="10" customFormat="1" ht="32.25" customHeight="1">
      <c r="B28" s="323" t="s">
        <v>99</v>
      </c>
      <c r="C28" s="323"/>
      <c r="D28" s="323"/>
      <c r="E28" s="323" t="s">
        <v>12</v>
      </c>
      <c r="F28" s="323"/>
      <c r="G28" s="323"/>
      <c r="H28" s="323" t="s">
        <v>100</v>
      </c>
      <c r="I28" s="323"/>
      <c r="J28" s="323"/>
      <c r="K28" s="323" t="s">
        <v>9</v>
      </c>
      <c r="L28" s="323"/>
      <c r="M28" s="323"/>
      <c r="N28" s="323" t="s">
        <v>101</v>
      </c>
      <c r="O28" s="323"/>
      <c r="P28" s="323"/>
      <c r="Q28" s="323" t="s">
        <v>102</v>
      </c>
      <c r="R28" s="323"/>
      <c r="S28" s="323"/>
    </row>
    <row r="29" spans="2:19" s="10" customFormat="1" ht="15.75" customHeight="1">
      <c r="B29" s="325" t="s">
        <v>14</v>
      </c>
      <c r="C29" s="305"/>
      <c r="D29" s="326"/>
      <c r="E29" s="322">
        <f>'K2(A4)'!E13</f>
        <v>600</v>
      </c>
      <c r="F29" s="322"/>
      <c r="G29" s="322"/>
      <c r="H29" s="322">
        <f>'K2(A4)'!E14</f>
        <v>3000</v>
      </c>
      <c r="I29" s="322"/>
      <c r="J29" s="322"/>
      <c r="K29" s="322">
        <f>SUM(E29:J29)</f>
        <v>3600</v>
      </c>
      <c r="L29" s="322"/>
      <c r="M29" s="322"/>
      <c r="N29" s="322">
        <f>SUM('K2(A4)'!$F$19:$F$42)</f>
        <v>3253</v>
      </c>
      <c r="O29" s="322"/>
      <c r="P29" s="322"/>
      <c r="Q29" s="322">
        <f>K29-N29</f>
        <v>347</v>
      </c>
      <c r="R29" s="322"/>
      <c r="S29" s="322"/>
    </row>
    <row r="30" spans="2:19" s="10" customFormat="1" ht="15.75" customHeight="1">
      <c r="B30" s="325" t="s">
        <v>15</v>
      </c>
      <c r="C30" s="305"/>
      <c r="D30" s="326"/>
      <c r="E30" s="322">
        <f>'K2(A4)'!F13</f>
        <v>454</v>
      </c>
      <c r="F30" s="322"/>
      <c r="G30" s="322"/>
      <c r="H30" s="322">
        <f>'K2(A4)'!F14</f>
        <v>400</v>
      </c>
      <c r="I30" s="322"/>
      <c r="J30" s="322"/>
      <c r="K30" s="322">
        <f aca="true" t="shared" si="1" ref="K30:K36">SUM(E30:J30)</f>
        <v>854</v>
      </c>
      <c r="L30" s="322"/>
      <c r="M30" s="322"/>
      <c r="N30" s="322">
        <f>SUM('K2(A4)'!$G$19:$G$42)</f>
        <v>68.44</v>
      </c>
      <c r="O30" s="322"/>
      <c r="P30" s="322"/>
      <c r="Q30" s="322">
        <f aca="true" t="shared" si="2" ref="Q30:Q36">K30-N30</f>
        <v>785.56</v>
      </c>
      <c r="R30" s="322"/>
      <c r="S30" s="322"/>
    </row>
    <row r="31" spans="2:19" s="10" customFormat="1" ht="15.75" customHeight="1">
      <c r="B31" s="325" t="s">
        <v>16</v>
      </c>
      <c r="C31" s="305"/>
      <c r="D31" s="326"/>
      <c r="E31" s="322">
        <f>'K2(A4)'!G13</f>
        <v>232</v>
      </c>
      <c r="F31" s="322"/>
      <c r="G31" s="322"/>
      <c r="H31" s="322">
        <f>'K2(A4)'!G14</f>
        <v>222</v>
      </c>
      <c r="I31" s="322"/>
      <c r="J31" s="322"/>
      <c r="K31" s="322">
        <f t="shared" si="1"/>
        <v>454</v>
      </c>
      <c r="L31" s="322"/>
      <c r="M31" s="322"/>
      <c r="N31" s="322">
        <f>SUM('K2(A4)'!$H$19:$H$42)</f>
        <v>0</v>
      </c>
      <c r="O31" s="322"/>
      <c r="P31" s="322"/>
      <c r="Q31" s="322">
        <f t="shared" si="2"/>
        <v>454</v>
      </c>
      <c r="R31" s="322"/>
      <c r="S31" s="322"/>
    </row>
    <row r="32" spans="2:19" s="10" customFormat="1" ht="15.75" customHeight="1">
      <c r="B32" s="325" t="s">
        <v>17</v>
      </c>
      <c r="C32" s="305"/>
      <c r="D32" s="326"/>
      <c r="E32" s="322">
        <f>'K2(A4)'!H13</f>
        <v>32</v>
      </c>
      <c r="F32" s="322"/>
      <c r="G32" s="322"/>
      <c r="H32" s="322">
        <f>'K2(A4)'!H14</f>
        <v>332</v>
      </c>
      <c r="I32" s="322"/>
      <c r="J32" s="322"/>
      <c r="K32" s="322">
        <f t="shared" si="1"/>
        <v>364</v>
      </c>
      <c r="L32" s="322"/>
      <c r="M32" s="322"/>
      <c r="N32" s="322">
        <f>SUM('K2(A4)'!$I$19:$I$42)</f>
        <v>0</v>
      </c>
      <c r="O32" s="322"/>
      <c r="P32" s="322"/>
      <c r="Q32" s="322">
        <f t="shared" si="2"/>
        <v>364</v>
      </c>
      <c r="R32" s="322"/>
      <c r="S32" s="322"/>
    </row>
    <row r="33" spans="2:19" s="10" customFormat="1" ht="15.75" customHeight="1">
      <c r="B33" s="325" t="s">
        <v>18</v>
      </c>
      <c r="C33" s="305"/>
      <c r="D33" s="326"/>
      <c r="E33" s="322">
        <f>'K2(A4)'!I13</f>
        <v>333</v>
      </c>
      <c r="F33" s="322"/>
      <c r="G33" s="322"/>
      <c r="H33" s="322">
        <f>'K2(A4)'!I14</f>
        <v>0</v>
      </c>
      <c r="I33" s="322"/>
      <c r="J33" s="322"/>
      <c r="K33" s="322">
        <f t="shared" si="1"/>
        <v>333</v>
      </c>
      <c r="L33" s="322"/>
      <c r="M33" s="322"/>
      <c r="N33" s="322">
        <f>SUM('K2(A4)'!$J$19:$J$42)</f>
        <v>68.21</v>
      </c>
      <c r="O33" s="322"/>
      <c r="P33" s="322"/>
      <c r="Q33" s="322">
        <f t="shared" si="2"/>
        <v>264.79</v>
      </c>
      <c r="R33" s="322"/>
      <c r="S33" s="322"/>
    </row>
    <row r="34" spans="2:19" s="10" customFormat="1" ht="15.75" customHeight="1">
      <c r="B34" s="325" t="s">
        <v>19</v>
      </c>
      <c r="C34" s="305"/>
      <c r="D34" s="326"/>
      <c r="E34" s="322">
        <f>'K2(A4)'!J13</f>
        <v>23</v>
      </c>
      <c r="F34" s="322"/>
      <c r="G34" s="322"/>
      <c r="H34" s="322">
        <f>'K2(A4)'!J14</f>
        <v>400</v>
      </c>
      <c r="I34" s="322"/>
      <c r="J34" s="322"/>
      <c r="K34" s="322">
        <f t="shared" si="1"/>
        <v>423</v>
      </c>
      <c r="L34" s="322"/>
      <c r="M34" s="322"/>
      <c r="N34" s="322">
        <f>SUM('K2(A4)'!$K$19:$K$42)</f>
        <v>0</v>
      </c>
      <c r="O34" s="322"/>
      <c r="P34" s="322"/>
      <c r="Q34" s="322">
        <f t="shared" si="2"/>
        <v>423</v>
      </c>
      <c r="R34" s="322"/>
      <c r="S34" s="322"/>
    </row>
    <row r="35" spans="2:19" s="10" customFormat="1" ht="15.75" customHeight="1">
      <c r="B35" s="325" t="s">
        <v>20</v>
      </c>
      <c r="C35" s="305"/>
      <c r="D35" s="326"/>
      <c r="E35" s="322">
        <f>'K2(A4)'!K13</f>
        <v>400</v>
      </c>
      <c r="F35" s="322"/>
      <c r="G35" s="322"/>
      <c r="H35" s="322">
        <f>'K2(A4)'!K14</f>
        <v>0</v>
      </c>
      <c r="I35" s="322"/>
      <c r="J35" s="322"/>
      <c r="K35" s="322">
        <f t="shared" si="1"/>
        <v>400</v>
      </c>
      <c r="L35" s="322"/>
      <c r="M35" s="322"/>
      <c r="N35" s="322">
        <f>SUM('K2(A4)'!$L$19:$L$42)</f>
        <v>68.03999999999999</v>
      </c>
      <c r="O35" s="322"/>
      <c r="P35" s="322"/>
      <c r="Q35" s="322">
        <f t="shared" si="2"/>
        <v>331.96000000000004</v>
      </c>
      <c r="R35" s="322"/>
      <c r="S35" s="322"/>
    </row>
    <row r="36" spans="2:19" s="10" customFormat="1" ht="15.75" customHeight="1">
      <c r="B36" s="325" t="s">
        <v>21</v>
      </c>
      <c r="C36" s="305"/>
      <c r="D36" s="326"/>
      <c r="E36" s="322">
        <f>'K2(A4)'!L13</f>
        <v>0</v>
      </c>
      <c r="F36" s="322"/>
      <c r="G36" s="322"/>
      <c r="H36" s="322">
        <f>'K2(A4)'!L14</f>
        <v>0</v>
      </c>
      <c r="I36" s="322"/>
      <c r="J36" s="322"/>
      <c r="K36" s="322">
        <f t="shared" si="1"/>
        <v>0</v>
      </c>
      <c r="L36" s="322"/>
      <c r="M36" s="322"/>
      <c r="N36" s="322">
        <f>SUM('K2(A4)'!$M$19:$M$42)</f>
        <v>0</v>
      </c>
      <c r="O36" s="322"/>
      <c r="P36" s="322"/>
      <c r="Q36" s="322">
        <f t="shared" si="2"/>
        <v>0</v>
      </c>
      <c r="R36" s="322"/>
      <c r="S36" s="322"/>
    </row>
    <row r="37" spans="2:19" s="10" customFormat="1" ht="15.75" customHeight="1">
      <c r="B37" s="325" t="s">
        <v>9</v>
      </c>
      <c r="C37" s="305"/>
      <c r="D37" s="326"/>
      <c r="E37" s="335">
        <f>SUM(E29:G36)</f>
        <v>2074</v>
      </c>
      <c r="F37" s="335"/>
      <c r="G37" s="335"/>
      <c r="H37" s="335">
        <f>SUM(H29:J36)</f>
        <v>4354</v>
      </c>
      <c r="I37" s="335"/>
      <c r="J37" s="335"/>
      <c r="K37" s="335">
        <f>SUM(K29:M36)</f>
        <v>6428</v>
      </c>
      <c r="L37" s="335"/>
      <c r="M37" s="335"/>
      <c r="N37" s="335">
        <f>SUM(N29:P36)</f>
        <v>3457.69</v>
      </c>
      <c r="O37" s="335"/>
      <c r="P37" s="335"/>
      <c r="Q37" s="335">
        <f>SUM(Q29:S36)</f>
        <v>2970.31</v>
      </c>
      <c r="R37" s="335"/>
      <c r="S37" s="335"/>
    </row>
    <row r="38" s="10" customFormat="1" ht="15.75" customHeight="1"/>
    <row r="39" spans="5:16" s="10" customFormat="1" ht="15.75" customHeight="1">
      <c r="E39" s="318" t="s">
        <v>105</v>
      </c>
      <c r="F39" s="318"/>
      <c r="G39" s="318"/>
      <c r="H39" s="318"/>
      <c r="I39" s="318"/>
      <c r="J39" s="318"/>
      <c r="K39" s="318"/>
      <c r="L39" s="318"/>
      <c r="M39" s="318"/>
      <c r="N39" s="318"/>
      <c r="O39" s="318"/>
      <c r="P39" s="318"/>
    </row>
    <row r="40" spans="5:16" s="10" customFormat="1" ht="15.75" customHeight="1">
      <c r="E40" s="318" t="s">
        <v>99</v>
      </c>
      <c r="F40" s="318"/>
      <c r="G40" s="318"/>
      <c r="H40" s="318"/>
      <c r="I40" s="318"/>
      <c r="J40" s="318"/>
      <c r="K40" s="318"/>
      <c r="L40" s="318" t="s">
        <v>106</v>
      </c>
      <c r="M40" s="318"/>
      <c r="N40" s="318"/>
      <c r="O40" s="318"/>
      <c r="P40" s="318"/>
    </row>
    <row r="41" spans="5:16" s="10" customFormat="1" ht="15.75" customHeight="1">
      <c r="E41" s="332" t="s">
        <v>107</v>
      </c>
      <c r="F41" s="333"/>
      <c r="G41" s="333"/>
      <c r="H41" s="333"/>
      <c r="I41" s="333"/>
      <c r="J41" s="333"/>
      <c r="K41" s="334"/>
      <c r="L41" s="81" t="s">
        <v>104</v>
      </c>
      <c r="M41" s="336">
        <f>DATA!DU19</f>
        <v>4500</v>
      </c>
      <c r="N41" s="336"/>
      <c r="O41" s="336"/>
      <c r="P41" s="337"/>
    </row>
    <row r="42" spans="5:16" s="10" customFormat="1" ht="15.75" customHeight="1">
      <c r="E42" s="332" t="s">
        <v>108</v>
      </c>
      <c r="F42" s="333"/>
      <c r="G42" s="333"/>
      <c r="H42" s="333"/>
      <c r="I42" s="333"/>
      <c r="J42" s="333"/>
      <c r="K42" s="334"/>
      <c r="L42" s="81" t="s">
        <v>104</v>
      </c>
      <c r="M42" s="336">
        <f>DATA!DH20</f>
        <v>12796</v>
      </c>
      <c r="N42" s="336"/>
      <c r="O42" s="336"/>
      <c r="P42" s="337"/>
    </row>
    <row r="43" spans="5:16" s="10" customFormat="1" ht="15.75" customHeight="1">
      <c r="E43" s="332" t="s">
        <v>109</v>
      </c>
      <c r="F43" s="333"/>
      <c r="G43" s="333"/>
      <c r="H43" s="333"/>
      <c r="I43" s="333"/>
      <c r="J43" s="333"/>
      <c r="K43" s="334"/>
      <c r="L43" s="81" t="s">
        <v>104</v>
      </c>
      <c r="M43" s="336">
        <f>DATA!DH21</f>
        <v>3060</v>
      </c>
      <c r="N43" s="336"/>
      <c r="O43" s="336"/>
      <c r="P43" s="337"/>
    </row>
    <row r="44" spans="5:16" s="10" customFormat="1" ht="15.75" customHeight="1">
      <c r="E44" s="325" t="s">
        <v>9</v>
      </c>
      <c r="F44" s="305"/>
      <c r="G44" s="305"/>
      <c r="H44" s="305"/>
      <c r="I44" s="305"/>
      <c r="J44" s="305"/>
      <c r="K44" s="326"/>
      <c r="L44" s="82" t="s">
        <v>104</v>
      </c>
      <c r="M44" s="328">
        <f>SUM(M41:P43)</f>
        <v>20356</v>
      </c>
      <c r="N44" s="328"/>
      <c r="O44" s="328"/>
      <c r="P44" s="329"/>
    </row>
    <row r="45" s="10" customFormat="1" ht="13.5" customHeight="1"/>
    <row r="46" spans="1:21" s="10" customFormat="1" ht="13.5" customHeight="1">
      <c r="A46" s="330" t="str">
        <f>DATA!K34</f>
        <v>Moorkanad</v>
      </c>
      <c r="B46" s="330"/>
      <c r="C46" s="330"/>
      <c r="Q46" s="327" t="str">
        <f>DATA!K38</f>
        <v>Lijin G.S.</v>
      </c>
      <c r="R46" s="327"/>
      <c r="S46" s="327"/>
      <c r="T46" s="327"/>
      <c r="U46" s="327"/>
    </row>
    <row r="47" spans="1:21" s="10" customFormat="1" ht="13.5" customHeight="1">
      <c r="A47" s="331">
        <f>DATA!H2</f>
        <v>40453</v>
      </c>
      <c r="B47" s="330"/>
      <c r="C47" s="330"/>
      <c r="Q47" s="33"/>
      <c r="R47" s="327" t="s">
        <v>110</v>
      </c>
      <c r="S47" s="327"/>
      <c r="T47" s="327"/>
      <c r="U47" s="33"/>
    </row>
    <row r="48" spans="17:21" s="10" customFormat="1" ht="13.5" customHeight="1">
      <c r="Q48" s="327" t="str">
        <f>DATA!K33</f>
        <v>S.S.H.S.S. Moorkanad</v>
      </c>
      <c r="R48" s="327"/>
      <c r="S48" s="327"/>
      <c r="T48" s="327"/>
      <c r="U48" s="327"/>
    </row>
    <row r="49" s="10" customFormat="1" ht="13.5" customHeight="1"/>
    <row r="50" s="10" customFormat="1" ht="19.5" customHeight="1"/>
    <row r="51" s="10" customFormat="1" ht="19.5" customHeight="1"/>
    <row r="52" s="10" customFormat="1" ht="19.5" customHeight="1"/>
    <row r="53" s="10" customFormat="1" ht="19.5" customHeight="1"/>
    <row r="54" s="10" customFormat="1" ht="19.5" customHeight="1"/>
    <row r="55" s="10" customFormat="1" ht="19.5" customHeight="1"/>
    <row r="56" s="10" customFormat="1" ht="19.5" customHeight="1"/>
    <row r="57" s="10" customFormat="1" ht="19.5" customHeight="1"/>
    <row r="58" s="10" customFormat="1" ht="19.5" customHeight="1"/>
    <row r="59" s="10" customFormat="1" ht="19.5" customHeight="1"/>
    <row r="60" s="10" customFormat="1" ht="19.5" customHeight="1"/>
    <row r="61" s="10" customFormat="1" ht="19.5" customHeight="1"/>
    <row r="62" s="10" customFormat="1" ht="19.5" customHeight="1"/>
    <row r="63" s="10" customFormat="1" ht="19.5" customHeight="1"/>
    <row r="64" s="10" customFormat="1" ht="19.5" customHeight="1"/>
    <row r="65" s="10" customFormat="1" ht="19.5" customHeight="1"/>
    <row r="66" s="10" customFormat="1" ht="19.5" customHeight="1"/>
    <row r="67" s="10" customFormat="1" ht="19.5" customHeight="1"/>
    <row r="68" s="10" customFormat="1" ht="19.5" customHeight="1"/>
    <row r="69" s="10" customFormat="1" ht="19.5" customHeight="1"/>
    <row r="70" s="10" customFormat="1" ht="19.5" customHeight="1"/>
    <row r="71" s="10" customFormat="1" ht="19.5" customHeight="1"/>
    <row r="72" s="10" customFormat="1" ht="19.5" customHeight="1"/>
    <row r="73" s="10" customFormat="1" ht="19.5" customHeight="1"/>
    <row r="74" s="10" customFormat="1" ht="19.5" customHeight="1"/>
    <row r="75" s="10" customFormat="1" ht="19.5" customHeight="1"/>
    <row r="76" s="10" customFormat="1" ht="19.5" customHeight="1"/>
    <row r="77" s="10" customFormat="1" ht="19.5" customHeight="1"/>
    <row r="78" s="10" customFormat="1" ht="19.5" customHeight="1"/>
    <row r="79" s="10" customFormat="1" ht="19.5" customHeight="1"/>
    <row r="80" s="10" customFormat="1" ht="19.5" customHeight="1"/>
    <row r="81" s="10" customFormat="1" ht="19.5" customHeight="1"/>
    <row r="82" s="10" customFormat="1" ht="19.5" customHeight="1"/>
    <row r="83" s="10" customFormat="1" ht="19.5" customHeight="1"/>
    <row r="84" s="10" customFormat="1" ht="19.5" customHeight="1"/>
    <row r="85" s="10" customFormat="1" ht="19.5" customHeight="1"/>
    <row r="86" s="10" customFormat="1" ht="19.5" customHeight="1"/>
    <row r="87" s="10" customFormat="1" ht="19.5" customHeight="1"/>
    <row r="88" s="10" customFormat="1" ht="19.5" customHeight="1"/>
    <row r="89" s="10" customFormat="1" ht="19.5" customHeight="1"/>
    <row r="90" s="10" customFormat="1" ht="19.5" customHeight="1"/>
    <row r="91" s="10" customFormat="1" ht="19.5" customHeight="1"/>
    <row r="92" s="10" customFormat="1" ht="19.5" customHeight="1"/>
    <row r="93" s="10" customFormat="1" ht="19.5" customHeight="1"/>
    <row r="94" s="10" customFormat="1" ht="19.5" customHeight="1"/>
    <row r="95" s="10" customFormat="1" ht="19.5" customHeight="1"/>
    <row r="96" s="10" customFormat="1" ht="19.5" customHeight="1"/>
    <row r="97" s="10" customFormat="1" ht="19.5" customHeight="1"/>
    <row r="98" s="10" customFormat="1" ht="19.5" customHeight="1"/>
    <row r="99" s="10" customFormat="1" ht="19.5" customHeight="1"/>
    <row r="100" s="10" customFormat="1" ht="19.5" customHeight="1"/>
    <row r="101" s="10" customFormat="1" ht="19.5" customHeight="1"/>
    <row r="102" s="10" customFormat="1" ht="19.5" customHeight="1"/>
    <row r="103" s="10" customFormat="1" ht="19.5" customHeight="1"/>
    <row r="104" s="10" customFormat="1" ht="19.5" customHeight="1"/>
    <row r="105" s="10" customFormat="1" ht="19.5" customHeight="1"/>
    <row r="106" s="10" customFormat="1" ht="19.5" customHeight="1"/>
    <row r="107" s="10" customFormat="1" ht="19.5" customHeight="1"/>
    <row r="108" s="10" customFormat="1" ht="19.5" customHeight="1"/>
  </sheetData>
  <sheetProtection/>
  <mergeCells count="146">
    <mergeCell ref="L40:P40"/>
    <mergeCell ref="B34:D34"/>
    <mergeCell ref="E34:G34"/>
    <mergeCell ref="H34:J34"/>
    <mergeCell ref="K34:M34"/>
    <mergeCell ref="N34:P34"/>
    <mergeCell ref="K31:M31"/>
    <mergeCell ref="N31:P31"/>
    <mergeCell ref="Q31:S31"/>
    <mergeCell ref="B36:D36"/>
    <mergeCell ref="E36:G36"/>
    <mergeCell ref="H36:J36"/>
    <mergeCell ref="K36:M36"/>
    <mergeCell ref="N36:P36"/>
    <mergeCell ref="Q36:S36"/>
    <mergeCell ref="Q34:S34"/>
    <mergeCell ref="B37:D37"/>
    <mergeCell ref="E37:G37"/>
    <mergeCell ref="H37:J37"/>
    <mergeCell ref="K37:M37"/>
    <mergeCell ref="Q35:S35"/>
    <mergeCell ref="N37:P37"/>
    <mergeCell ref="Q37:S37"/>
    <mergeCell ref="A46:C46"/>
    <mergeCell ref="A47:C47"/>
    <mergeCell ref="E39:P39"/>
    <mergeCell ref="E41:K41"/>
    <mergeCell ref="E42:K42"/>
    <mergeCell ref="E43:K43"/>
    <mergeCell ref="E40:K40"/>
    <mergeCell ref="M41:P41"/>
    <mergeCell ref="M42:P42"/>
    <mergeCell ref="M43:P43"/>
    <mergeCell ref="Q48:U48"/>
    <mergeCell ref="R47:T47"/>
    <mergeCell ref="Q46:U46"/>
    <mergeCell ref="M44:P44"/>
    <mergeCell ref="B35:D35"/>
    <mergeCell ref="E35:G35"/>
    <mergeCell ref="H35:J35"/>
    <mergeCell ref="K35:M35"/>
    <mergeCell ref="N35:P35"/>
    <mergeCell ref="E44:K44"/>
    <mergeCell ref="N33:P33"/>
    <mergeCell ref="Q33:S33"/>
    <mergeCell ref="B32:D32"/>
    <mergeCell ref="E32:G32"/>
    <mergeCell ref="H32:J32"/>
    <mergeCell ref="K32:M32"/>
    <mergeCell ref="N32:P32"/>
    <mergeCell ref="Q32:S32"/>
    <mergeCell ref="H29:J29"/>
    <mergeCell ref="K29:M29"/>
    <mergeCell ref="B28:D28"/>
    <mergeCell ref="B33:D33"/>
    <mergeCell ref="E33:G33"/>
    <mergeCell ref="H33:J33"/>
    <mergeCell ref="K33:M33"/>
    <mergeCell ref="B31:D31"/>
    <mergeCell ref="E31:G31"/>
    <mergeCell ref="H31:J31"/>
    <mergeCell ref="K25:M25"/>
    <mergeCell ref="N25:Q25"/>
    <mergeCell ref="B27:S27"/>
    <mergeCell ref="K28:M28"/>
    <mergeCell ref="B30:D30"/>
    <mergeCell ref="E30:G30"/>
    <mergeCell ref="H30:J30"/>
    <mergeCell ref="K30:M30"/>
    <mergeCell ref="B29:D29"/>
    <mergeCell ref="E29:G29"/>
    <mergeCell ref="K23:M23"/>
    <mergeCell ref="N23:Q23"/>
    <mergeCell ref="N28:P28"/>
    <mergeCell ref="Q28:S28"/>
    <mergeCell ref="E24:G24"/>
    <mergeCell ref="H24:J24"/>
    <mergeCell ref="K24:M24"/>
    <mergeCell ref="N24:Q24"/>
    <mergeCell ref="E25:G25"/>
    <mergeCell ref="H25:J25"/>
    <mergeCell ref="N29:P29"/>
    <mergeCell ref="Q29:S29"/>
    <mergeCell ref="H28:J28"/>
    <mergeCell ref="E28:G28"/>
    <mergeCell ref="E22:G22"/>
    <mergeCell ref="H22:J22"/>
    <mergeCell ref="K22:M22"/>
    <mergeCell ref="N22:Q22"/>
    <mergeCell ref="E23:G23"/>
    <mergeCell ref="H23:J23"/>
    <mergeCell ref="N30:P30"/>
    <mergeCell ref="Q30:S30"/>
    <mergeCell ref="E20:G20"/>
    <mergeCell ref="H20:J20"/>
    <mergeCell ref="K20:M20"/>
    <mergeCell ref="N20:Q20"/>
    <mergeCell ref="E21:G21"/>
    <mergeCell ref="H21:J21"/>
    <mergeCell ref="K21:M21"/>
    <mergeCell ref="N21:Q21"/>
    <mergeCell ref="E16:G16"/>
    <mergeCell ref="H16:J16"/>
    <mergeCell ref="K16:M16"/>
    <mergeCell ref="N16:Q16"/>
    <mergeCell ref="E17:G17"/>
    <mergeCell ref="H17:J17"/>
    <mergeCell ref="K17:M17"/>
    <mergeCell ref="N17:Q17"/>
    <mergeCell ref="E18:G18"/>
    <mergeCell ref="H18:J18"/>
    <mergeCell ref="K18:M18"/>
    <mergeCell ref="N18:Q18"/>
    <mergeCell ref="E19:G19"/>
    <mergeCell ref="H19:J19"/>
    <mergeCell ref="K19:M19"/>
    <mergeCell ref="N19:Q19"/>
    <mergeCell ref="E15:G15"/>
    <mergeCell ref="H15:J15"/>
    <mergeCell ref="K15:M15"/>
    <mergeCell ref="N15:Q15"/>
    <mergeCell ref="E13:G13"/>
    <mergeCell ref="H13:J13"/>
    <mergeCell ref="K13:M13"/>
    <mergeCell ref="N13:Q13"/>
    <mergeCell ref="E8:K8"/>
    <mergeCell ref="L8:Q8"/>
    <mergeCell ref="E9:K9"/>
    <mergeCell ref="L9:Q9"/>
    <mergeCell ref="E10:K10"/>
    <mergeCell ref="L10:Q10"/>
    <mergeCell ref="E14:G14"/>
    <mergeCell ref="H14:J14"/>
    <mergeCell ref="K14:M14"/>
    <mergeCell ref="N14:Q14"/>
    <mergeCell ref="E12:G12"/>
    <mergeCell ref="H12:J12"/>
    <mergeCell ref="K12:M12"/>
    <mergeCell ref="N12:Q12"/>
    <mergeCell ref="A1:U1"/>
    <mergeCell ref="A2:U2"/>
    <mergeCell ref="A3:U3"/>
    <mergeCell ref="S5:T5"/>
    <mergeCell ref="M5:R5"/>
    <mergeCell ref="E7:K7"/>
    <mergeCell ref="L7:Q7"/>
  </mergeCells>
  <printOptions horizontalCentered="1"/>
  <pageMargins left="0.1968503937007874" right="0.1968503937007874" top="0.1968503937007874" bottom="0.15748031496062992" header="0.11811023622047245" footer="0.118110236220472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I55"/>
  <sheetViews>
    <sheetView tabSelected="1" zoomScalePageLayoutView="0" workbookViewId="0" topLeftCell="A10">
      <selection activeCell="E49" sqref="E49"/>
    </sheetView>
  </sheetViews>
  <sheetFormatPr defaultColWidth="9.8515625" defaultRowHeight="15"/>
  <cols>
    <col min="1" max="1" width="11.421875" style="152" customWidth="1"/>
    <col min="2" max="2" width="10.421875" style="152" customWidth="1"/>
    <col min="3" max="4" width="10.7109375" style="152" customWidth="1"/>
    <col min="5" max="8" width="11.140625" style="152" customWidth="1"/>
    <col min="9" max="16384" width="9.8515625" style="152" customWidth="1"/>
  </cols>
  <sheetData>
    <row r="1" s="161" customFormat="1" ht="12" customHeight="1"/>
    <row r="2" spans="1:9" s="161" customFormat="1" ht="14.25" customHeight="1">
      <c r="A2" s="344" t="s">
        <v>90</v>
      </c>
      <c r="B2" s="344"/>
      <c r="C2" s="344"/>
      <c r="D2" s="344"/>
      <c r="E2" s="344"/>
      <c r="F2" s="344"/>
      <c r="G2" s="344"/>
      <c r="H2" s="344"/>
      <c r="I2" s="344"/>
    </row>
    <row r="3" spans="1:9" ht="19.5" customHeight="1">
      <c r="A3" s="349" t="s">
        <v>91</v>
      </c>
      <c r="B3" s="349"/>
      <c r="C3" s="349"/>
      <c r="D3" s="349"/>
      <c r="E3" s="349"/>
      <c r="F3" s="349"/>
      <c r="G3" s="349"/>
      <c r="H3" s="349"/>
      <c r="I3" s="349"/>
    </row>
    <row r="4" spans="1:9" ht="20.25" customHeight="1">
      <c r="A4" s="349" t="s">
        <v>92</v>
      </c>
      <c r="B4" s="349"/>
      <c r="C4" s="349"/>
      <c r="D4" s="349"/>
      <c r="E4" s="349"/>
      <c r="F4" s="349"/>
      <c r="G4" s="349"/>
      <c r="H4" s="349"/>
      <c r="I4" s="349"/>
    </row>
    <row r="5" ht="6.75" customHeight="1"/>
    <row r="6" spans="1:9" s="171" customFormat="1" ht="14.25" customHeight="1">
      <c r="A6" s="338" t="s">
        <v>53</v>
      </c>
      <c r="B6" s="338"/>
      <c r="C6" s="318">
        <f>DATA!K35</f>
        <v>48086</v>
      </c>
      <c r="D6" s="318"/>
      <c r="F6" s="338" t="s">
        <v>31</v>
      </c>
      <c r="G6" s="338"/>
      <c r="H6" s="318">
        <f>DATA!J3</f>
        <v>15</v>
      </c>
      <c r="I6" s="318"/>
    </row>
    <row r="7" spans="1:9" s="171" customFormat="1" ht="24" customHeight="1">
      <c r="A7" s="338" t="s">
        <v>52</v>
      </c>
      <c r="B7" s="338"/>
      <c r="C7" s="350" t="str">
        <f>DATA!K33</f>
        <v>S.S.H.S.S. Moorkanad</v>
      </c>
      <c r="D7" s="351"/>
      <c r="F7" s="338" t="s">
        <v>38</v>
      </c>
      <c r="G7" s="338"/>
      <c r="H7" s="318" t="str">
        <f>'K2(A4)'!R3</f>
        <v>September 2010</v>
      </c>
      <c r="I7" s="318"/>
    </row>
    <row r="8" ht="8.25" customHeight="1"/>
    <row r="9" spans="3:7" ht="14.25" customHeight="1">
      <c r="C9" s="318" t="s">
        <v>162</v>
      </c>
      <c r="D9" s="318"/>
      <c r="E9" s="318"/>
      <c r="F9" s="318"/>
      <c r="G9" s="318"/>
    </row>
    <row r="10" spans="2:7" s="171" customFormat="1" ht="13.5" customHeight="1">
      <c r="B10" s="172"/>
      <c r="C10" s="163" t="s">
        <v>6</v>
      </c>
      <c r="D10" s="163" t="s">
        <v>163</v>
      </c>
      <c r="E10" s="163" t="s">
        <v>164</v>
      </c>
      <c r="F10" s="163" t="s">
        <v>165</v>
      </c>
      <c r="G10" s="163" t="s">
        <v>9</v>
      </c>
    </row>
    <row r="11" spans="3:7" s="167" customFormat="1" ht="13.5" customHeight="1">
      <c r="C11" s="162" t="s">
        <v>126</v>
      </c>
      <c r="D11" s="162">
        <f>IF(DATA!CU6=0,"Nil",DATA!CU6)</f>
        <v>17746</v>
      </c>
      <c r="E11" s="162">
        <f>IF(DATA!CV6=0,"Nil",DATA!CV6)</f>
        <v>6605</v>
      </c>
      <c r="F11" s="162">
        <f>IF(DATA!CW6=0,"Nil",DATA!CW6)</f>
        <v>3251</v>
      </c>
      <c r="G11" s="162">
        <f>SUM(D11:F11)</f>
        <v>27602</v>
      </c>
    </row>
    <row r="12" ht="6.75" customHeight="1"/>
    <row r="13" spans="1:8" ht="15">
      <c r="A13" s="340" t="s">
        <v>166</v>
      </c>
      <c r="B13" s="340"/>
      <c r="C13" s="340"/>
      <c r="D13" s="340"/>
      <c r="E13" s="167"/>
      <c r="F13" s="340" t="s">
        <v>168</v>
      </c>
      <c r="G13" s="340"/>
      <c r="H13" s="340"/>
    </row>
    <row r="14" spans="1:8" ht="13.5" customHeight="1">
      <c r="A14" s="340"/>
      <c r="B14" s="340"/>
      <c r="C14" s="340"/>
      <c r="D14" s="340"/>
      <c r="E14" s="167"/>
      <c r="F14" s="340"/>
      <c r="G14" s="340"/>
      <c r="H14" s="340"/>
    </row>
    <row r="15" spans="1:8" ht="15" customHeight="1">
      <c r="A15" s="162" t="s">
        <v>95</v>
      </c>
      <c r="B15" s="162" t="s">
        <v>167</v>
      </c>
      <c r="C15" s="162" t="s">
        <v>97</v>
      </c>
      <c r="D15" s="162" t="s">
        <v>9</v>
      </c>
      <c r="E15" s="167"/>
      <c r="F15" s="341" t="s">
        <v>29</v>
      </c>
      <c r="G15" s="340" t="s">
        <v>169</v>
      </c>
      <c r="H15" s="343" t="s">
        <v>170</v>
      </c>
    </row>
    <row r="16" spans="1:8" ht="12" customHeight="1">
      <c r="A16" s="162" t="s">
        <v>6</v>
      </c>
      <c r="B16" s="158" t="s">
        <v>126</v>
      </c>
      <c r="C16" s="158" t="s">
        <v>126</v>
      </c>
      <c r="D16" s="158" t="s">
        <v>126</v>
      </c>
      <c r="E16" s="167"/>
      <c r="F16" s="342"/>
      <c r="G16" s="340"/>
      <c r="H16" s="343"/>
    </row>
    <row r="17" spans="1:8" ht="12" customHeight="1">
      <c r="A17" s="162">
        <v>1</v>
      </c>
      <c r="B17" s="158">
        <f>IF(DATA!CQ6=0,"Nil",DATA!CQ6)</f>
        <v>1609</v>
      </c>
      <c r="C17" s="158">
        <f>IF(DATA!CR6=0,"Nil",DATA!CR6)</f>
        <v>1752</v>
      </c>
      <c r="D17" s="158">
        <f>IF(DATA!CS6=0,"Nil",DATA!CS6)</f>
        <v>3361</v>
      </c>
      <c r="E17" s="167"/>
      <c r="F17" s="179">
        <f>IF('K2(A4)'!BG19="","",'K2(A4)'!BG19)</f>
        <v>40422</v>
      </c>
      <c r="G17" s="158">
        <f>IF('K2(A4)'!BK19="","",'K2(A4)'!BK19)</f>
      </c>
      <c r="H17" s="158">
        <f>IF('K2(A4)'!BJ19="","",'K2(A4)'!BJ19)</f>
        <v>274.79999999999995</v>
      </c>
    </row>
    <row r="18" spans="1:8" ht="12" customHeight="1">
      <c r="A18" s="162">
        <v>2</v>
      </c>
      <c r="B18" s="158">
        <f>IF(DATA!CQ7=0,"Nil",DATA!CQ7)</f>
        <v>1762</v>
      </c>
      <c r="C18" s="158">
        <f>IF(DATA!CR7=0,"Nil",DATA!CR7)</f>
        <v>1838</v>
      </c>
      <c r="D18" s="158">
        <f>IF(DATA!CS7=0,"Nil",DATA!CS7)</f>
        <v>3600</v>
      </c>
      <c r="E18" s="167"/>
      <c r="F18" s="179">
        <f>IF('K2(A4)'!BG20="","",'K2(A4)'!BG20)</f>
        <v>40425</v>
      </c>
      <c r="G18" s="182">
        <f>IF('K2(A4)'!BK20="","",'K2(A4)'!BK20)</f>
      </c>
      <c r="H18" s="182">
        <f>IF('K2(A4)'!BJ20="","",'K2(A4)'!BJ20)</f>
        <v>276</v>
      </c>
    </row>
    <row r="19" spans="1:8" ht="12" customHeight="1">
      <c r="A19" s="162">
        <v>3</v>
      </c>
      <c r="B19" s="158">
        <f>IF(DATA!CQ8=0,"Nil",DATA!CQ8)</f>
        <v>1758</v>
      </c>
      <c r="C19" s="158">
        <f>IF(DATA!CR8=0,"Nil",DATA!CR8)</f>
        <v>1836</v>
      </c>
      <c r="D19" s="158">
        <f>IF(DATA!CS8=0,"Nil",DATA!CS8)</f>
        <v>3594</v>
      </c>
      <c r="E19" s="167"/>
      <c r="F19" s="179">
        <f>IF('K2(A4)'!BG21="","",'K2(A4)'!BG21)</f>
        <v>40432</v>
      </c>
      <c r="G19" s="182">
        <f>IF('K2(A4)'!BK21="","",'K2(A4)'!BK21)</f>
      </c>
      <c r="H19" s="182">
        <f>IF('K2(A4)'!BJ21="","",'K2(A4)'!BJ21)</f>
        <v>275.4</v>
      </c>
    </row>
    <row r="20" spans="1:8" ht="12" customHeight="1">
      <c r="A20" s="162">
        <v>4</v>
      </c>
      <c r="B20" s="158">
        <f>IF(DATA!CQ9=0,"Nil",DATA!CQ9)</f>
        <v>1756</v>
      </c>
      <c r="C20" s="158">
        <f>IF(DATA!CR9=0,"Nil",DATA!CR9)</f>
        <v>1839</v>
      </c>
      <c r="D20" s="158">
        <f>IF(DATA!CS9=0,"Nil",DATA!CS9)</f>
        <v>3595</v>
      </c>
      <c r="E20" s="167"/>
      <c r="F20" s="179">
        <f>IF('K2(A4)'!BG22="","",'K2(A4)'!BG22)</f>
        <v>40437</v>
      </c>
      <c r="G20" s="182">
        <f>IF('K2(A4)'!BK22="","",'K2(A4)'!BK22)</f>
        <v>1186</v>
      </c>
      <c r="H20" s="182">
        <f>IF('K2(A4)'!BJ22="","",'K2(A4)'!BJ22)</f>
      </c>
    </row>
    <row r="21" spans="1:8" ht="12" customHeight="1">
      <c r="A21" s="162">
        <v>5</v>
      </c>
      <c r="B21" s="158">
        <f>IF(DATA!CQ10=0,"Nil",DATA!CQ10)</f>
        <v>1760</v>
      </c>
      <c r="C21" s="158">
        <f>IF(DATA!CR10=0,"Nil",DATA!CR10)</f>
        <v>1836</v>
      </c>
      <c r="D21" s="158">
        <f>IF(DATA!CS10=0,"Nil",DATA!CS10)</f>
        <v>3596</v>
      </c>
      <c r="E21" s="167"/>
      <c r="F21" s="179">
        <f>IF('K2(A4)'!BG23="","",'K2(A4)'!BG23)</f>
        <v>40439</v>
      </c>
      <c r="G21" s="182">
        <f>IF('K2(A4)'!BK23="","",'K2(A4)'!BK23)</f>
      </c>
      <c r="H21" s="182">
        <f>IF('K2(A4)'!BJ23="","",'K2(A4)'!BJ23)</f>
        <v>275.55</v>
      </c>
    </row>
    <row r="22" spans="1:8" ht="12" customHeight="1">
      <c r="A22" s="162">
        <v>6</v>
      </c>
      <c r="B22" s="158">
        <f>IF(DATA!CQ11=0,"Nil",DATA!CQ11)</f>
        <v>1677</v>
      </c>
      <c r="C22" s="158">
        <f>IF(DATA!CR11=0,"Nil",DATA!CR11)</f>
        <v>1885</v>
      </c>
      <c r="D22" s="158">
        <f>IF(DATA!CS11=0,"Nil",DATA!CS11)</f>
        <v>3562</v>
      </c>
      <c r="E22" s="167"/>
      <c r="F22" s="179">
        <f>IF('K2(A4)'!BG24="","",'K2(A4)'!BG24)</f>
        <v>40441</v>
      </c>
      <c r="G22" s="182">
        <f>IF('K2(A4)'!BK24="","",'K2(A4)'!BK24)</f>
        <v>1183</v>
      </c>
      <c r="H22" s="182">
        <f>IF('K2(A4)'!BJ24="","",'K2(A4)'!BJ24)</f>
      </c>
    </row>
    <row r="23" spans="1:8" ht="12" customHeight="1">
      <c r="A23" s="162">
        <v>7</v>
      </c>
      <c r="B23" s="158">
        <f>IF(DATA!CQ12=0,"Nil",DATA!CQ12)</f>
        <v>1493</v>
      </c>
      <c r="C23" s="158">
        <f>IF(DATA!CR12=0,"Nil",DATA!CR12)</f>
        <v>1550</v>
      </c>
      <c r="D23" s="158">
        <f>IF(DATA!CS12=0,"Nil",DATA!CS12)</f>
        <v>3043</v>
      </c>
      <c r="E23" s="167"/>
      <c r="F23" s="179">
        <f>IF('K2(A4)'!BG25="","",'K2(A4)'!BG25)</f>
        <v>40449</v>
      </c>
      <c r="G23" s="182">
        <f>IF('K2(A4)'!BK25="","",'K2(A4)'!BK25)</f>
      </c>
      <c r="H23" s="182">
        <f>IF('K2(A4)'!BJ25="","",'K2(A4)'!BJ25)</f>
        <v>276.6</v>
      </c>
    </row>
    <row r="24" spans="1:8" ht="12" customHeight="1">
      <c r="A24" s="162">
        <v>8</v>
      </c>
      <c r="B24" s="158">
        <f>IF(DATA!CQ13=0,"Nil",DATA!CQ13)</f>
        <v>1718</v>
      </c>
      <c r="C24" s="158">
        <f>IF(DATA!CR13=0,"Nil",DATA!CR13)</f>
        <v>1533</v>
      </c>
      <c r="D24" s="158">
        <f>IF(DATA!CS13=0,"Nil",DATA!CS13)</f>
        <v>3251</v>
      </c>
      <c r="E24" s="167"/>
      <c r="F24" s="179">
        <f>IF('K2(A4)'!BG26="","",'K2(A4)'!BG26)</f>
      </c>
      <c r="G24" s="182">
        <f>IF('K2(A4)'!BK26="","",'K2(A4)'!BK26)</f>
      </c>
      <c r="H24" s="182">
        <f>IF('K2(A4)'!BJ26="","",'K2(A4)'!BJ26)</f>
      </c>
    </row>
    <row r="25" spans="1:8" ht="12" customHeight="1">
      <c r="A25" s="162">
        <v>9</v>
      </c>
      <c r="B25" s="158" t="str">
        <f>IF(DATA!CQ14=0,"Nil",DATA!CQ14)</f>
        <v>Nil</v>
      </c>
      <c r="C25" s="158" t="str">
        <f>IF(DATA!CR14=0,"Nil",DATA!CR14)</f>
        <v>Nil</v>
      </c>
      <c r="D25" s="158" t="str">
        <f>IF(DATA!CS14=0,"Nil",DATA!CS14)</f>
        <v>Nil</v>
      </c>
      <c r="E25" s="167"/>
      <c r="F25" s="179">
        <f>IF('K2(A4)'!BG27="","",'K2(A4)'!BG27)</f>
      </c>
      <c r="G25" s="182">
        <f>IF('K2(A4)'!BK27="","",'K2(A4)'!BK27)</f>
      </c>
      <c r="H25" s="182">
        <f>IF('K2(A4)'!BJ27="","",'K2(A4)'!BJ27)</f>
      </c>
    </row>
    <row r="26" spans="1:8" ht="12" customHeight="1">
      <c r="A26" s="162">
        <v>10</v>
      </c>
      <c r="B26" s="158" t="str">
        <f>IF(DATA!CQ15=0,"Nil",DATA!CQ15)</f>
        <v>Nil</v>
      </c>
      <c r="C26" s="158" t="str">
        <f>IF(DATA!CR15=0,"Nil",DATA!CR15)</f>
        <v>Nil</v>
      </c>
      <c r="D26" s="158" t="str">
        <f>IF(DATA!CS15=0,"Nil",DATA!CS15)</f>
        <v>Nil</v>
      </c>
      <c r="E26" s="167"/>
      <c r="F26" s="179">
        <f>IF('K2(A4)'!BG28="","",'K2(A4)'!BG28)</f>
      </c>
      <c r="G26" s="182">
        <f>IF('K2(A4)'!BK28="","",'K2(A4)'!BK28)</f>
      </c>
      <c r="H26" s="182">
        <f>IF('K2(A4)'!BJ28="","",'K2(A4)'!BJ28)</f>
      </c>
    </row>
    <row r="27" spans="1:8" ht="14.25" customHeight="1">
      <c r="A27" s="162" t="s">
        <v>9</v>
      </c>
      <c r="B27" s="158">
        <f>SUM(B16:B26)</f>
        <v>13533</v>
      </c>
      <c r="C27" s="158">
        <f>SUM(C16:C26)</f>
        <v>14069</v>
      </c>
      <c r="D27" s="158">
        <f>SUM(D16:D26)</f>
        <v>27602</v>
      </c>
      <c r="E27" s="167"/>
      <c r="F27" s="162" t="s">
        <v>9</v>
      </c>
      <c r="G27" s="162">
        <f>SUM(G17:G26)</f>
        <v>2369</v>
      </c>
      <c r="H27" s="162">
        <f>SUM(H17:H26)</f>
        <v>1378.35</v>
      </c>
    </row>
    <row r="28" ht="9" customHeight="1"/>
    <row r="29" spans="2:7" ht="15.75" customHeight="1">
      <c r="B29" s="338" t="s">
        <v>175</v>
      </c>
      <c r="C29" s="338"/>
      <c r="D29" s="338"/>
      <c r="E29" s="338"/>
      <c r="F29" s="338"/>
      <c r="G29" s="338"/>
    </row>
    <row r="30" spans="2:7" s="166" customFormat="1" ht="39" customHeight="1">
      <c r="B30" s="163" t="s">
        <v>99</v>
      </c>
      <c r="C30" s="163" t="s">
        <v>12</v>
      </c>
      <c r="D30" s="163" t="s">
        <v>173</v>
      </c>
      <c r="E30" s="163" t="s">
        <v>9</v>
      </c>
      <c r="F30" s="163" t="s">
        <v>174</v>
      </c>
      <c r="G30" s="163" t="s">
        <v>102</v>
      </c>
    </row>
    <row r="31" spans="2:7" ht="14.25" customHeight="1">
      <c r="B31" s="162" t="s">
        <v>14</v>
      </c>
      <c r="C31" s="175">
        <f>'K2(A4)'!E13</f>
        <v>600</v>
      </c>
      <c r="D31" s="175">
        <f>'K2(A4)'!E14</f>
        <v>3000</v>
      </c>
      <c r="E31" s="176">
        <f>SUM(C31:D31)</f>
        <v>3600</v>
      </c>
      <c r="F31" s="175">
        <f>'K2(A4)'!F43</f>
        <v>3253</v>
      </c>
      <c r="G31" s="176">
        <f>E31-F31</f>
        <v>347</v>
      </c>
    </row>
    <row r="32" spans="2:7" ht="14.25" customHeight="1">
      <c r="B32" s="168" t="s">
        <v>15</v>
      </c>
      <c r="C32" s="175">
        <f>'K2(A4)'!F13</f>
        <v>454</v>
      </c>
      <c r="D32" s="175">
        <f>'K2(A4)'!F14</f>
        <v>400</v>
      </c>
      <c r="E32" s="176">
        <f aca="true" t="shared" si="0" ref="E32:E38">SUM(C32:D32)</f>
        <v>854</v>
      </c>
      <c r="F32" s="175">
        <f>'K2(A4)'!G43</f>
        <v>68.44</v>
      </c>
      <c r="G32" s="176">
        <f aca="true" t="shared" si="1" ref="G32:G38">E32-F32</f>
        <v>785.56</v>
      </c>
    </row>
    <row r="33" spans="2:7" ht="14.25" customHeight="1">
      <c r="B33" s="162" t="s">
        <v>16</v>
      </c>
      <c r="C33" s="175">
        <f>'K2(A4)'!G13</f>
        <v>232</v>
      </c>
      <c r="D33" s="175">
        <f>'K2(A4)'!G14</f>
        <v>222</v>
      </c>
      <c r="E33" s="176">
        <f t="shared" si="0"/>
        <v>454</v>
      </c>
      <c r="F33" s="175">
        <f>'K2(A4)'!H43</f>
        <v>0</v>
      </c>
      <c r="G33" s="176">
        <f t="shared" si="1"/>
        <v>454</v>
      </c>
    </row>
    <row r="34" spans="2:7" ht="14.25" customHeight="1">
      <c r="B34" s="162" t="s">
        <v>17</v>
      </c>
      <c r="C34" s="175">
        <f>'K2(A4)'!H13</f>
        <v>32</v>
      </c>
      <c r="D34" s="175">
        <f>'K2(A4)'!H14</f>
        <v>332</v>
      </c>
      <c r="E34" s="176">
        <f t="shared" si="0"/>
        <v>364</v>
      </c>
      <c r="F34" s="175">
        <f>'K2(A4)'!I43</f>
        <v>0</v>
      </c>
      <c r="G34" s="176">
        <f t="shared" si="1"/>
        <v>364</v>
      </c>
    </row>
    <row r="35" spans="2:7" ht="14.25" customHeight="1">
      <c r="B35" s="162" t="s">
        <v>18</v>
      </c>
      <c r="C35" s="175">
        <f>'K2(A4)'!I13</f>
        <v>333</v>
      </c>
      <c r="D35" s="175">
        <f>'K2(A4)'!I14</f>
        <v>0</v>
      </c>
      <c r="E35" s="176">
        <f t="shared" si="0"/>
        <v>333</v>
      </c>
      <c r="F35" s="175">
        <f>'K2(A4)'!J43</f>
        <v>68.21</v>
      </c>
      <c r="G35" s="176">
        <f t="shared" si="1"/>
        <v>264.79</v>
      </c>
    </row>
    <row r="36" spans="2:7" ht="14.25" customHeight="1">
      <c r="B36" s="162" t="s">
        <v>19</v>
      </c>
      <c r="C36" s="175">
        <f>'K2(A4)'!J13</f>
        <v>23</v>
      </c>
      <c r="D36" s="175">
        <f>'K2(A4)'!J14</f>
        <v>400</v>
      </c>
      <c r="E36" s="176">
        <f t="shared" si="0"/>
        <v>423</v>
      </c>
      <c r="F36" s="175">
        <f>'K2(A4)'!K43</f>
        <v>0</v>
      </c>
      <c r="G36" s="176">
        <f t="shared" si="1"/>
        <v>423</v>
      </c>
    </row>
    <row r="37" spans="2:7" ht="14.25" customHeight="1">
      <c r="B37" s="162" t="s">
        <v>20</v>
      </c>
      <c r="C37" s="175">
        <f>'K2(A4)'!K13</f>
        <v>400</v>
      </c>
      <c r="D37" s="175">
        <f>'K2(A4)'!K14</f>
        <v>0</v>
      </c>
      <c r="E37" s="176">
        <f t="shared" si="0"/>
        <v>400</v>
      </c>
      <c r="F37" s="175">
        <f>'K2(A4)'!L43</f>
        <v>68.03999999999999</v>
      </c>
      <c r="G37" s="176">
        <f t="shared" si="1"/>
        <v>331.96000000000004</v>
      </c>
    </row>
    <row r="38" spans="2:7" ht="14.25" customHeight="1">
      <c r="B38" s="162" t="s">
        <v>21</v>
      </c>
      <c r="C38" s="175">
        <f>'K2(A4)'!L13</f>
        <v>0</v>
      </c>
      <c r="D38" s="175">
        <f>'K2(A4)'!L14</f>
        <v>0</v>
      </c>
      <c r="E38" s="176">
        <f t="shared" si="0"/>
        <v>0</v>
      </c>
      <c r="F38" s="175">
        <f>'K2(A4)'!M43</f>
        <v>0</v>
      </c>
      <c r="G38" s="176">
        <f t="shared" si="1"/>
        <v>0</v>
      </c>
    </row>
    <row r="39" spans="2:7" ht="14.25" customHeight="1">
      <c r="B39" s="162" t="s">
        <v>9</v>
      </c>
      <c r="C39" s="176">
        <f>SUM(C31:C38)</f>
        <v>2074</v>
      </c>
      <c r="D39" s="176">
        <f>SUM(D31:D38)</f>
        <v>4354</v>
      </c>
      <c r="E39" s="176">
        <f>SUM(E31:E38)</f>
        <v>6428</v>
      </c>
      <c r="F39" s="176">
        <f>SUM(F31:F38)</f>
        <v>3457.69</v>
      </c>
      <c r="G39" s="176">
        <f>SUM(G31:G38)</f>
        <v>2970.31</v>
      </c>
    </row>
    <row r="40" ht="6.75" customHeight="1"/>
    <row r="41" s="160" customFormat="1" ht="14.25" customHeight="1">
      <c r="A41" s="169" t="s">
        <v>176</v>
      </c>
    </row>
    <row r="42" ht="5.25" customHeight="1"/>
    <row r="43" spans="1:8" s="170" customFormat="1" ht="36" customHeight="1">
      <c r="A43" s="339" t="s">
        <v>99</v>
      </c>
      <c r="B43" s="339"/>
      <c r="C43" s="164" t="s">
        <v>177</v>
      </c>
      <c r="D43" s="164" t="s">
        <v>178</v>
      </c>
      <c r="E43" s="164" t="s">
        <v>179</v>
      </c>
      <c r="F43" s="164" t="s">
        <v>180</v>
      </c>
      <c r="G43" s="164" t="s">
        <v>181</v>
      </c>
      <c r="H43" s="164" t="s">
        <v>182</v>
      </c>
    </row>
    <row r="44" spans="1:8" ht="15">
      <c r="A44" s="338" t="s">
        <v>183</v>
      </c>
      <c r="B44" s="338"/>
      <c r="C44" s="207">
        <f>DATA!DU19</f>
        <v>4500</v>
      </c>
      <c r="D44" s="207">
        <f aca="true" t="shared" si="2" ref="D44:E46">C44</f>
        <v>4500</v>
      </c>
      <c r="E44" s="207">
        <f t="shared" si="2"/>
        <v>4500</v>
      </c>
      <c r="F44" s="345"/>
      <c r="G44" s="345"/>
      <c r="H44" s="345"/>
    </row>
    <row r="45" spans="1:8" ht="15">
      <c r="A45" s="338" t="s">
        <v>108</v>
      </c>
      <c r="B45" s="338"/>
      <c r="C45" s="207">
        <f>DATA!DH20</f>
        <v>12796</v>
      </c>
      <c r="D45" s="207">
        <f t="shared" si="2"/>
        <v>12796</v>
      </c>
      <c r="E45" s="207">
        <f t="shared" si="2"/>
        <v>12796</v>
      </c>
      <c r="F45" s="346"/>
      <c r="G45" s="346"/>
      <c r="H45" s="346"/>
    </row>
    <row r="46" spans="1:8" ht="15">
      <c r="A46" s="348" t="s">
        <v>109</v>
      </c>
      <c r="B46" s="348"/>
      <c r="C46" s="207">
        <f>DATA!DH21</f>
        <v>3060</v>
      </c>
      <c r="D46" s="207">
        <f t="shared" si="2"/>
        <v>3060</v>
      </c>
      <c r="E46" s="207">
        <f t="shared" si="2"/>
        <v>3060</v>
      </c>
      <c r="F46" s="347"/>
      <c r="G46" s="347"/>
      <c r="H46" s="347"/>
    </row>
    <row r="47" spans="1:8" ht="15">
      <c r="A47" s="318" t="s">
        <v>9</v>
      </c>
      <c r="B47" s="318"/>
      <c r="C47" s="208">
        <f>SUM(C44:C46)</f>
        <v>20356</v>
      </c>
      <c r="D47" s="208">
        <f>SUM(D44:D46)</f>
        <v>20356</v>
      </c>
      <c r="E47" s="208">
        <f>SUM(E44:E46)</f>
        <v>20356</v>
      </c>
      <c r="F47" s="209"/>
      <c r="G47" s="209"/>
      <c r="H47" s="209"/>
    </row>
    <row r="48" spans="1:8" ht="15">
      <c r="A48" s="338" t="s">
        <v>184</v>
      </c>
      <c r="B48" s="338"/>
      <c r="C48" s="338"/>
      <c r="D48" s="338"/>
      <c r="E48" s="209">
        <f>ROUND(G27*DATA!AV36,0)</f>
        <v>0</v>
      </c>
      <c r="F48" s="209"/>
      <c r="G48" s="209"/>
      <c r="H48" s="209"/>
    </row>
    <row r="49" spans="1:8" ht="15">
      <c r="A49" s="318" t="s">
        <v>185</v>
      </c>
      <c r="B49" s="318"/>
      <c r="C49" s="318"/>
      <c r="D49" s="318"/>
      <c r="E49" s="208">
        <f>SUM(E47:E48)</f>
        <v>20356</v>
      </c>
      <c r="F49" s="209"/>
      <c r="G49" s="209"/>
      <c r="H49" s="209"/>
    </row>
    <row r="50" ht="12" customHeight="1"/>
    <row r="51" s="161" customFormat="1" ht="12" customHeight="1"/>
    <row r="52" spans="1:5" s="167" customFormat="1" ht="12.75">
      <c r="A52" s="173">
        <f>DATA!H2</f>
        <v>40453</v>
      </c>
      <c r="E52" s="174"/>
    </row>
    <row r="53" spans="1:6" s="167" customFormat="1" ht="12.75">
      <c r="A53" s="167" t="str">
        <f>DATA!K34</f>
        <v>Moorkanad</v>
      </c>
      <c r="F53" s="167" t="str">
        <f>DATA!K38</f>
        <v>Lijin G.S.</v>
      </c>
    </row>
    <row r="54" s="167" customFormat="1" ht="12.75">
      <c r="F54" s="167" t="s">
        <v>110</v>
      </c>
    </row>
    <row r="55" spans="2:6" s="167" customFormat="1" ht="12.75">
      <c r="B55" s="167" t="s">
        <v>186</v>
      </c>
      <c r="F55" s="167" t="str">
        <f>DATA!K33</f>
        <v>S.S.H.S.S. Moorkanad</v>
      </c>
    </row>
  </sheetData>
  <sheetProtection/>
  <mergeCells count="28">
    <mergeCell ref="A6:B6"/>
    <mergeCell ref="C6:D6"/>
    <mergeCell ref="A7:B7"/>
    <mergeCell ref="C7:D7"/>
    <mergeCell ref="F6:G6"/>
    <mergeCell ref="H6:I6"/>
    <mergeCell ref="F7:G7"/>
    <mergeCell ref="H7:I7"/>
    <mergeCell ref="F15:F16"/>
    <mergeCell ref="G15:G16"/>
    <mergeCell ref="H15:H16"/>
    <mergeCell ref="A2:I2"/>
    <mergeCell ref="F44:F46"/>
    <mergeCell ref="G44:G46"/>
    <mergeCell ref="H44:H46"/>
    <mergeCell ref="A46:B46"/>
    <mergeCell ref="A3:I3"/>
    <mergeCell ref="A4:I4"/>
    <mergeCell ref="A47:B47"/>
    <mergeCell ref="A48:D48"/>
    <mergeCell ref="A49:D49"/>
    <mergeCell ref="B29:G29"/>
    <mergeCell ref="C9:G9"/>
    <mergeCell ref="A43:B43"/>
    <mergeCell ref="A44:B44"/>
    <mergeCell ref="A45:B45"/>
    <mergeCell ref="A13:D14"/>
    <mergeCell ref="F13:H14"/>
  </mergeCells>
  <printOptions horizontalCentered="1"/>
  <pageMargins left="0.2362204724409449" right="0.2362204724409449" top="0.15748031496062992" bottom="0.1574803149606299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34"/>
  <sheetViews>
    <sheetView zoomScalePageLayoutView="0" workbookViewId="0" topLeftCell="A1">
      <selection activeCell="E31" sqref="E31"/>
    </sheetView>
  </sheetViews>
  <sheetFormatPr defaultColWidth="9.140625" defaultRowHeight="17.25" customHeight="1"/>
  <cols>
    <col min="1" max="4" width="8.8515625" style="32" customWidth="1"/>
    <col min="5" max="5" width="10.140625" style="32" customWidth="1"/>
    <col min="6" max="6" width="8.7109375" style="32" customWidth="1"/>
    <col min="7" max="7" width="6.57421875" style="32" customWidth="1"/>
    <col min="8" max="8" width="7.57421875" style="32" customWidth="1"/>
    <col min="9" max="9" width="10.00390625" style="32" customWidth="1"/>
    <col min="10" max="10" width="12.00390625" style="32" customWidth="1"/>
    <col min="11" max="16384" width="8.8515625" style="32" customWidth="1"/>
  </cols>
  <sheetData>
    <row r="1" spans="1:11" ht="17.25" customHeight="1" thickBot="1">
      <c r="A1" s="37"/>
      <c r="B1" s="38"/>
      <c r="C1" s="38"/>
      <c r="D1" s="38"/>
      <c r="E1" s="38"/>
      <c r="F1" s="38"/>
      <c r="G1" s="38"/>
      <c r="H1" s="38"/>
      <c r="I1" s="38"/>
      <c r="J1" s="38"/>
      <c r="K1" s="39"/>
    </row>
    <row r="2" spans="1:12" ht="23.25" customHeight="1" thickBot="1">
      <c r="A2" s="358" t="s">
        <v>79</v>
      </c>
      <c r="B2" s="359"/>
      <c r="C2" s="70"/>
      <c r="D2" s="31"/>
      <c r="E2" s="31"/>
      <c r="F2" s="35"/>
      <c r="G2" s="35"/>
      <c r="H2" s="35"/>
      <c r="I2" s="72" t="s">
        <v>84</v>
      </c>
      <c r="J2" s="71">
        <f>DATA!H2</f>
        <v>40453</v>
      </c>
      <c r="K2" s="40"/>
      <c r="L2" s="35"/>
    </row>
    <row r="3" spans="1:11" ht="17.25" customHeight="1">
      <c r="A3" s="41"/>
      <c r="B3" s="35"/>
      <c r="C3" s="35"/>
      <c r="D3" s="35"/>
      <c r="E3" s="35"/>
      <c r="F3" s="35"/>
      <c r="G3" s="35"/>
      <c r="H3" s="35"/>
      <c r="I3" s="35"/>
      <c r="J3" s="35"/>
      <c r="K3" s="42"/>
    </row>
    <row r="4" spans="1:11" ht="17.25" customHeight="1" thickBot="1">
      <c r="A4" s="41"/>
      <c r="B4" s="35"/>
      <c r="C4" s="35"/>
      <c r="D4" s="35"/>
      <c r="E4" s="35"/>
      <c r="F4" s="35"/>
      <c r="G4" s="35"/>
      <c r="H4" s="35"/>
      <c r="I4" s="35"/>
      <c r="J4" s="35"/>
      <c r="K4" s="42"/>
    </row>
    <row r="5" spans="1:41" ht="24" customHeight="1">
      <c r="A5" s="360" t="str">
        <f>CONCATENATE("              ",DATA!K41," ",DATA!K40," ",AH5," ",AI6," ",AI7," ",AI8," ",AH9," ",DATA!DU19/2," ",AH11," ",AH12)</f>
        <v>              aqÀ¡\mSv kp_pepÊemw lbÀsk¡­dn kvIqÄ slUvamÌdnÂ \n¶pw 2010 sk]väw_À amks¯  D¨-`-£-W-¯n-\pÅ ]mNIIqen C\¯nÂ-  2250 cq] (. . . . . . . . . . . . . . . . . . … ……. … . . . . . . . . . . . . . . . . . . . . . . . . . . . . . . . . . . . . . . . . . . . . . . . . . . . . . )  In«nt_m[n¨p.</v>
      </c>
      <c r="B5" s="360"/>
      <c r="C5" s="360"/>
      <c r="D5" s="360"/>
      <c r="E5" s="360"/>
      <c r="F5" s="360"/>
      <c r="G5" s="360"/>
      <c r="H5" s="360"/>
      <c r="I5" s="360"/>
      <c r="J5" s="360"/>
      <c r="K5" s="361"/>
      <c r="AH5" s="354" t="s">
        <v>139</v>
      </c>
      <c r="AI5" s="355"/>
      <c r="AJ5" s="355"/>
      <c r="AK5" s="355"/>
      <c r="AL5" s="355"/>
      <c r="AM5" s="355"/>
      <c r="AN5" s="355"/>
      <c r="AO5" s="356"/>
    </row>
    <row r="6" spans="1:41" ht="24" customHeight="1">
      <c r="A6" s="360"/>
      <c r="B6" s="360"/>
      <c r="C6" s="360"/>
      <c r="D6" s="360"/>
      <c r="E6" s="360"/>
      <c r="F6" s="360"/>
      <c r="G6" s="360"/>
      <c r="H6" s="360"/>
      <c r="I6" s="360"/>
      <c r="J6" s="360"/>
      <c r="K6" s="361"/>
      <c r="AH6" s="62"/>
      <c r="AI6" s="63">
        <f>DATA!O3</f>
        <v>2010</v>
      </c>
      <c r="AJ6" s="64"/>
      <c r="AK6" s="64"/>
      <c r="AL6" s="64"/>
      <c r="AM6" s="64"/>
      <c r="AN6" s="64"/>
      <c r="AO6" s="65"/>
    </row>
    <row r="7" spans="1:41" ht="24" customHeight="1">
      <c r="A7" s="360"/>
      <c r="B7" s="360"/>
      <c r="C7" s="360"/>
      <c r="D7" s="360"/>
      <c r="E7" s="360"/>
      <c r="F7" s="360"/>
      <c r="G7" s="360"/>
      <c r="H7" s="360"/>
      <c r="I7" s="360"/>
      <c r="J7" s="360"/>
      <c r="K7" s="361"/>
      <c r="AH7" s="62"/>
      <c r="AI7" s="64" t="str">
        <f>DATA!DA2</f>
        <v>sk]väw_À</v>
      </c>
      <c r="AJ7" s="64"/>
      <c r="AK7" s="64"/>
      <c r="AL7" s="64"/>
      <c r="AM7" s="64"/>
      <c r="AN7" s="64"/>
      <c r="AO7" s="65"/>
    </row>
    <row r="8" spans="1:41" ht="17.25" customHeight="1" thickBot="1">
      <c r="A8" s="360"/>
      <c r="B8" s="360"/>
      <c r="C8" s="360"/>
      <c r="D8" s="360"/>
      <c r="E8" s="360"/>
      <c r="F8" s="360"/>
      <c r="G8" s="360"/>
      <c r="H8" s="360"/>
      <c r="I8" s="360"/>
      <c r="J8" s="360"/>
      <c r="K8" s="361"/>
      <c r="AH8" s="66"/>
      <c r="AI8" s="67" t="s">
        <v>75</v>
      </c>
      <c r="AJ8" s="67"/>
      <c r="AK8" s="67"/>
      <c r="AL8" s="67"/>
      <c r="AM8" s="67"/>
      <c r="AN8" s="67"/>
      <c r="AO8" s="68"/>
    </row>
    <row r="9" spans="1:34" ht="17.25" customHeight="1">
      <c r="A9" s="48"/>
      <c r="B9" s="44"/>
      <c r="C9" s="44"/>
      <c r="D9" s="44"/>
      <c r="E9" s="44"/>
      <c r="F9" s="44"/>
      <c r="G9" s="44"/>
      <c r="H9" s="44"/>
      <c r="I9" s="44"/>
      <c r="J9" s="44"/>
      <c r="K9" s="46"/>
      <c r="AH9" s="43" t="s">
        <v>76</v>
      </c>
    </row>
    <row r="10" spans="1:34" ht="17.25" customHeight="1">
      <c r="A10" s="48"/>
      <c r="B10" s="44"/>
      <c r="C10" s="44"/>
      <c r="D10" s="44"/>
      <c r="E10" s="44"/>
      <c r="F10" s="44"/>
      <c r="G10" s="44"/>
      <c r="H10" s="44"/>
      <c r="I10" s="44"/>
      <c r="J10" s="44"/>
      <c r="K10" s="46"/>
      <c r="AH10" s="146"/>
    </row>
    <row r="11" spans="1:34" s="34" customFormat="1" ht="27.75" customHeight="1">
      <c r="A11" s="49"/>
      <c r="B11" s="50"/>
      <c r="C11" s="50"/>
      <c r="D11" s="50"/>
      <c r="E11" s="50"/>
      <c r="F11" s="353" t="s">
        <v>81</v>
      </c>
      <c r="G11" s="353"/>
      <c r="H11" s="50"/>
      <c r="I11" s="50"/>
      <c r="J11" s="50"/>
      <c r="K11" s="51"/>
      <c r="AH11" s="45" t="s">
        <v>85</v>
      </c>
    </row>
    <row r="12" spans="1:34" s="34" customFormat="1" ht="27.75" customHeight="1">
      <c r="A12" s="49"/>
      <c r="B12" s="50"/>
      <c r="C12" s="50"/>
      <c r="D12" s="50"/>
      <c r="E12" s="50"/>
      <c r="F12" s="353" t="s">
        <v>82</v>
      </c>
      <c r="G12" s="353"/>
      <c r="H12" s="50"/>
      <c r="I12" s="50"/>
      <c r="J12" s="50"/>
      <c r="K12" s="51"/>
      <c r="AH12" s="47" t="s">
        <v>77</v>
      </c>
    </row>
    <row r="13" spans="1:11" s="34" customFormat="1" ht="27.75" customHeight="1">
      <c r="A13" s="49"/>
      <c r="B13" s="50"/>
      <c r="C13" s="50"/>
      <c r="D13" s="50"/>
      <c r="E13" s="50"/>
      <c r="F13" s="353" t="s">
        <v>80</v>
      </c>
      <c r="G13" s="353"/>
      <c r="H13" s="50"/>
      <c r="I13" s="50"/>
      <c r="J13" s="50"/>
      <c r="K13" s="51"/>
    </row>
    <row r="14" spans="1:11" s="34" customFormat="1" ht="27.75" customHeight="1" thickBot="1">
      <c r="A14" s="52"/>
      <c r="B14" s="53"/>
      <c r="C14" s="53"/>
      <c r="D14" s="53"/>
      <c r="E14" s="53"/>
      <c r="F14" s="357" t="s">
        <v>83</v>
      </c>
      <c r="G14" s="357"/>
      <c r="H14" s="53"/>
      <c r="I14" s="53"/>
      <c r="J14" s="53"/>
      <c r="K14" s="54"/>
    </row>
    <row r="15" spans="1:11" s="34" customFormat="1" ht="27.75" customHeight="1">
      <c r="A15" s="50"/>
      <c r="B15" s="50"/>
      <c r="C15" s="50"/>
      <c r="D15" s="50"/>
      <c r="E15" s="50"/>
      <c r="F15" s="69"/>
      <c r="G15" s="69"/>
      <c r="H15" s="50"/>
      <c r="I15" s="50"/>
      <c r="J15" s="50"/>
      <c r="K15" s="50"/>
    </row>
    <row r="16" spans="1:11" s="34" customFormat="1" ht="27.75" customHeight="1">
      <c r="A16" s="50"/>
      <c r="B16" s="50"/>
      <c r="C16" s="50"/>
      <c r="D16" s="50"/>
      <c r="E16" s="50"/>
      <c r="F16" s="69"/>
      <c r="G16" s="69"/>
      <c r="H16" s="50"/>
      <c r="I16" s="50"/>
      <c r="J16" s="50"/>
      <c r="K16" s="50"/>
    </row>
    <row r="20" ht="17.25" customHeight="1" thickBot="1"/>
    <row r="21" spans="1:11" s="58" customFormat="1" ht="17.25" customHeight="1" thickBot="1">
      <c r="A21" s="55"/>
      <c r="B21" s="56"/>
      <c r="C21" s="56"/>
      <c r="D21" s="56"/>
      <c r="E21" s="56"/>
      <c r="F21" s="56"/>
      <c r="G21" s="56"/>
      <c r="H21" s="56"/>
      <c r="I21" s="56"/>
      <c r="J21" s="56"/>
      <c r="K21" s="57"/>
    </row>
    <row r="22" spans="1:12" s="58" customFormat="1" ht="21.75" customHeight="1" thickBot="1">
      <c r="A22" s="358" t="s">
        <v>79</v>
      </c>
      <c r="B22" s="359"/>
      <c r="C22" s="70"/>
      <c r="D22" s="45"/>
      <c r="E22" s="45"/>
      <c r="F22" s="44"/>
      <c r="G22" s="44"/>
      <c r="H22" s="44"/>
      <c r="I22" s="72" t="s">
        <v>84</v>
      </c>
      <c r="J22" s="71">
        <f>DATA!H2</f>
        <v>40453</v>
      </c>
      <c r="K22" s="40"/>
      <c r="L22" s="44"/>
    </row>
    <row r="23" spans="1:11" s="58" customFormat="1" ht="17.25" customHeight="1">
      <c r="A23" s="48"/>
      <c r="B23" s="44"/>
      <c r="C23" s="44"/>
      <c r="D23" s="44"/>
      <c r="E23" s="44"/>
      <c r="F23" s="44"/>
      <c r="G23" s="44"/>
      <c r="H23" s="44"/>
      <c r="I23" s="44"/>
      <c r="J23" s="44"/>
      <c r="K23" s="46"/>
    </row>
    <row r="24" spans="1:11" s="58" customFormat="1" ht="17.25" customHeight="1">
      <c r="A24" s="48"/>
      <c r="B24" s="44"/>
      <c r="C24" s="44"/>
      <c r="D24" s="44"/>
      <c r="E24" s="44"/>
      <c r="F24" s="44"/>
      <c r="G24" s="44"/>
      <c r="H24" s="44"/>
      <c r="I24" s="44"/>
      <c r="J24" s="44"/>
      <c r="K24" s="46"/>
    </row>
    <row r="25" spans="1:20" s="58" customFormat="1" ht="24" customHeight="1">
      <c r="A25" s="362" t="str">
        <f>A5</f>
        <v>              aqÀ¡\mSv kp_pepÊemw lbÀsk¡­dn kvIqÄ slUvamÌdnÂ \n¶pw 2010 sk]väw_À amks¯  D¨-`-£-W-¯n-\pÅ ]mNIIqen C\¯nÂ-  2250 cq] (. . . . . . . . . . . . . . . . . . … ……. … . . . . . . . . . . . . . . . . . . . . . . . . . . . . . . . . . . . . . . . . . . . . . . . . . . . . . )  In«nt_m[n¨p.</v>
      </c>
      <c r="B25" s="360"/>
      <c r="C25" s="360"/>
      <c r="D25" s="360"/>
      <c r="E25" s="360"/>
      <c r="F25" s="360"/>
      <c r="G25" s="360"/>
      <c r="H25" s="360"/>
      <c r="I25" s="360"/>
      <c r="J25" s="360"/>
      <c r="K25" s="361"/>
      <c r="M25" s="352"/>
      <c r="N25" s="352"/>
      <c r="O25" s="352"/>
      <c r="P25" s="352"/>
      <c r="Q25" s="352"/>
      <c r="R25" s="352"/>
      <c r="S25" s="352"/>
      <c r="T25" s="352"/>
    </row>
    <row r="26" spans="1:14" s="58" customFormat="1" ht="24" customHeight="1">
      <c r="A26" s="362"/>
      <c r="B26" s="360"/>
      <c r="C26" s="360"/>
      <c r="D26" s="360"/>
      <c r="E26" s="360"/>
      <c r="F26" s="360"/>
      <c r="G26" s="360"/>
      <c r="H26" s="360"/>
      <c r="I26" s="360"/>
      <c r="J26" s="360"/>
      <c r="K26" s="361"/>
      <c r="N26" s="59"/>
    </row>
    <row r="27" spans="1:11" s="58" customFormat="1" ht="24" customHeight="1">
      <c r="A27" s="362"/>
      <c r="B27" s="360"/>
      <c r="C27" s="360"/>
      <c r="D27" s="360"/>
      <c r="E27" s="360"/>
      <c r="F27" s="360"/>
      <c r="G27" s="360"/>
      <c r="H27" s="360"/>
      <c r="I27" s="360"/>
      <c r="J27" s="360"/>
      <c r="K27" s="361"/>
    </row>
    <row r="28" spans="1:11" s="58" customFormat="1" ht="17.25" customHeight="1">
      <c r="A28" s="362"/>
      <c r="B28" s="360"/>
      <c r="C28" s="360"/>
      <c r="D28" s="360"/>
      <c r="E28" s="360"/>
      <c r="F28" s="360"/>
      <c r="G28" s="360"/>
      <c r="H28" s="360"/>
      <c r="I28" s="360"/>
      <c r="J28" s="360"/>
      <c r="K28" s="361"/>
    </row>
    <row r="29" spans="1:11" s="58" customFormat="1" ht="17.25" customHeight="1">
      <c r="A29" s="48"/>
      <c r="B29" s="44"/>
      <c r="C29" s="44"/>
      <c r="D29" s="44"/>
      <c r="E29" s="44"/>
      <c r="F29" s="44"/>
      <c r="G29" s="44"/>
      <c r="H29" s="44"/>
      <c r="I29" s="44"/>
      <c r="J29" s="44"/>
      <c r="K29" s="46"/>
    </row>
    <row r="30" spans="1:11" s="58" customFormat="1" ht="17.25" customHeight="1">
      <c r="A30" s="48"/>
      <c r="B30" s="44"/>
      <c r="C30" s="44"/>
      <c r="D30" s="44"/>
      <c r="E30" s="44"/>
      <c r="F30" s="44"/>
      <c r="G30" s="44"/>
      <c r="H30" s="44"/>
      <c r="I30" s="44"/>
      <c r="J30" s="44"/>
      <c r="K30" s="46"/>
    </row>
    <row r="31" spans="1:11" s="60" customFormat="1" ht="27.75" customHeight="1">
      <c r="A31" s="49"/>
      <c r="B31" s="50"/>
      <c r="C31" s="50"/>
      <c r="D31" s="50"/>
      <c r="E31" s="50"/>
      <c r="F31" s="353" t="s">
        <v>81</v>
      </c>
      <c r="G31" s="353"/>
      <c r="H31" s="50"/>
      <c r="I31" s="50"/>
      <c r="J31" s="50"/>
      <c r="K31" s="51"/>
    </row>
    <row r="32" spans="1:11" s="60" customFormat="1" ht="27.75" customHeight="1">
      <c r="A32" s="49"/>
      <c r="B32" s="50"/>
      <c r="C32" s="50"/>
      <c r="D32" s="50"/>
      <c r="E32" s="50"/>
      <c r="F32" s="353" t="s">
        <v>82</v>
      </c>
      <c r="G32" s="353"/>
      <c r="H32" s="50"/>
      <c r="I32" s="50"/>
      <c r="J32" s="50"/>
      <c r="K32" s="51"/>
    </row>
    <row r="33" spans="1:11" s="60" customFormat="1" ht="27.75" customHeight="1">
      <c r="A33" s="49"/>
      <c r="B33" s="50"/>
      <c r="C33" s="50"/>
      <c r="D33" s="50"/>
      <c r="E33" s="50"/>
      <c r="F33" s="353" t="s">
        <v>80</v>
      </c>
      <c r="G33" s="353"/>
      <c r="H33" s="50"/>
      <c r="I33" s="50"/>
      <c r="J33" s="50"/>
      <c r="K33" s="51"/>
    </row>
    <row r="34" spans="1:11" s="60" customFormat="1" ht="27.75" customHeight="1" thickBot="1">
      <c r="A34" s="52"/>
      <c r="B34" s="53"/>
      <c r="C34" s="53"/>
      <c r="D34" s="53"/>
      <c r="E34" s="53"/>
      <c r="F34" s="357" t="s">
        <v>83</v>
      </c>
      <c r="G34" s="357"/>
      <c r="H34" s="53"/>
      <c r="I34" s="53"/>
      <c r="J34" s="53"/>
      <c r="K34" s="54"/>
    </row>
  </sheetData>
  <sheetProtection/>
  <mergeCells count="14">
    <mergeCell ref="F33:G33"/>
    <mergeCell ref="F34:G34"/>
    <mergeCell ref="A22:B22"/>
    <mergeCell ref="A2:B2"/>
    <mergeCell ref="F13:G13"/>
    <mergeCell ref="F14:G14"/>
    <mergeCell ref="A5:K8"/>
    <mergeCell ref="A25:K28"/>
    <mergeCell ref="M25:T25"/>
    <mergeCell ref="F31:G31"/>
    <mergeCell ref="F32:G32"/>
    <mergeCell ref="AH5:AO5"/>
    <mergeCell ref="F11:G11"/>
    <mergeCell ref="F12:G12"/>
  </mergeCells>
  <printOptions horizontalCentered="1"/>
  <pageMargins left="0.2362204724409449" right="0.2362204724409449" top="0.35433070866141736"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P34"/>
  <sheetViews>
    <sheetView zoomScalePageLayoutView="0" workbookViewId="0" topLeftCell="A1">
      <selection activeCell="A29" sqref="A29"/>
    </sheetView>
  </sheetViews>
  <sheetFormatPr defaultColWidth="9.140625" defaultRowHeight="17.25" customHeight="1"/>
  <cols>
    <col min="1" max="4" width="8.8515625" style="32" customWidth="1"/>
    <col min="5" max="5" width="8.7109375" style="32" customWidth="1"/>
    <col min="6" max="6" width="16.421875" style="32" customWidth="1"/>
    <col min="7" max="7" width="11.421875" style="32" customWidth="1"/>
    <col min="8" max="8" width="6.140625" style="32" customWidth="1"/>
    <col min="9" max="9" width="12.00390625" style="32" customWidth="1"/>
    <col min="10" max="10" width="5.7109375" style="32" customWidth="1"/>
    <col min="11" max="32" width="8.8515625" style="32" customWidth="1"/>
    <col min="33" max="33" width="14.28125" style="32" bestFit="1" customWidth="1"/>
    <col min="34" max="16384" width="8.8515625" style="32" customWidth="1"/>
  </cols>
  <sheetData>
    <row r="1" spans="1:10" ht="17.25" customHeight="1" thickBot="1">
      <c r="A1" s="37"/>
      <c r="B1" s="38"/>
      <c r="C1" s="38"/>
      <c r="D1" s="38"/>
      <c r="E1" s="38"/>
      <c r="F1" s="38"/>
      <c r="G1" s="38"/>
      <c r="H1" s="38"/>
      <c r="I1" s="38"/>
      <c r="J1" s="39"/>
    </row>
    <row r="2" spans="1:11" ht="23.25" customHeight="1" thickBot="1">
      <c r="A2" s="358" t="s">
        <v>79</v>
      </c>
      <c r="B2" s="359"/>
      <c r="C2" s="70"/>
      <c r="D2" s="31"/>
      <c r="E2" s="35"/>
      <c r="F2" s="35"/>
      <c r="G2" s="363" t="s">
        <v>84</v>
      </c>
      <c r="H2" s="364"/>
      <c r="I2" s="71">
        <f>DATA!H2</f>
        <v>40453</v>
      </c>
      <c r="J2" s="40"/>
      <c r="K2" s="35"/>
    </row>
    <row r="3" spans="1:10" ht="17.25" customHeight="1">
      <c r="A3" s="41"/>
      <c r="B3" s="35"/>
      <c r="C3" s="35"/>
      <c r="D3" s="35"/>
      <c r="E3" s="35"/>
      <c r="F3" s="35"/>
      <c r="G3" s="35"/>
      <c r="H3" s="35"/>
      <c r="I3" s="35"/>
      <c r="J3" s="42"/>
    </row>
    <row r="4" spans="1:10" ht="17.25" customHeight="1" thickBot="1">
      <c r="A4" s="41"/>
      <c r="B4" s="35"/>
      <c r="C4" s="35"/>
      <c r="D4" s="35"/>
      <c r="E4" s="35"/>
      <c r="F4" s="35"/>
      <c r="G4" s="35"/>
      <c r="H4" s="35"/>
      <c r="I4" s="35"/>
      <c r="J4" s="42"/>
    </row>
    <row r="5" spans="1:40" ht="24" customHeight="1">
      <c r="A5" s="360" t="str">
        <f>CONCATENATE("           ",AG5," ",AH6," ",AH7," ",AH8," ",AG9," ",AG10," ",AG11," ",AG12)</f>
        <v>           aqÀ¡\mSv kp_pepÊemw lbÀsk¡­dn kvIqÄslUvamÌdnÂ \n¶pw 2010 sk]väw_À amks¯  D¨-`-£-W-¯n-\pÅ ]ehyRvP\§fpsS hne C\¯nÂ  12796 cq] (. . . . . . . . . . . .............. ............................. ............................. ................. .................. ............. .................. .................. )  In«nt_m[n¨p.</v>
      </c>
      <c r="B5" s="360"/>
      <c r="C5" s="360"/>
      <c r="D5" s="360"/>
      <c r="E5" s="360"/>
      <c r="F5" s="360"/>
      <c r="G5" s="360"/>
      <c r="H5" s="360"/>
      <c r="I5" s="360"/>
      <c r="J5" s="361"/>
      <c r="AG5" s="365" t="str">
        <f>CONCATENATE(DATA!K41," ",DATA!K40,'Voucher-1(A4)'!AH5)</f>
        <v>aqÀ¡\mSv kp_pepÊemw lbÀsk¡­dn kvIqÄslUvamÌdnÂ \n¶pw</v>
      </c>
      <c r="AH5" s="366"/>
      <c r="AI5" s="366"/>
      <c r="AJ5" s="366"/>
      <c r="AK5" s="366"/>
      <c r="AL5" s="366"/>
      <c r="AM5" s="366"/>
      <c r="AN5" s="367"/>
    </row>
    <row r="6" spans="1:40" ht="24" customHeight="1">
      <c r="A6" s="360"/>
      <c r="B6" s="360"/>
      <c r="C6" s="360"/>
      <c r="D6" s="360"/>
      <c r="E6" s="360"/>
      <c r="F6" s="360"/>
      <c r="G6" s="360"/>
      <c r="H6" s="360"/>
      <c r="I6" s="360"/>
      <c r="J6" s="361"/>
      <c r="AG6" s="62"/>
      <c r="AH6" s="63">
        <f>DATA!O3</f>
        <v>2010</v>
      </c>
      <c r="AI6" s="64"/>
      <c r="AJ6" s="64"/>
      <c r="AK6" s="64"/>
      <c r="AL6" s="64"/>
      <c r="AM6" s="64"/>
      <c r="AN6" s="65"/>
    </row>
    <row r="7" spans="1:40" ht="24" customHeight="1">
      <c r="A7" s="360"/>
      <c r="B7" s="360"/>
      <c r="C7" s="360"/>
      <c r="D7" s="360"/>
      <c r="E7" s="360"/>
      <c r="F7" s="360"/>
      <c r="G7" s="360"/>
      <c r="H7" s="360"/>
      <c r="I7" s="360"/>
      <c r="J7" s="361"/>
      <c r="AG7" s="62"/>
      <c r="AH7" s="64" t="str">
        <f>DATA!DA2</f>
        <v>sk]väw_À</v>
      </c>
      <c r="AI7" s="64"/>
      <c r="AJ7" s="64"/>
      <c r="AK7" s="64"/>
      <c r="AL7" s="64"/>
      <c r="AM7" s="64"/>
      <c r="AN7" s="65"/>
    </row>
    <row r="8" spans="1:40" ht="17.25" customHeight="1" thickBot="1">
      <c r="A8" s="360"/>
      <c r="B8" s="360"/>
      <c r="C8" s="360"/>
      <c r="D8" s="360"/>
      <c r="E8" s="360"/>
      <c r="F8" s="360"/>
      <c r="G8" s="360"/>
      <c r="H8" s="360"/>
      <c r="I8" s="360"/>
      <c r="J8" s="361"/>
      <c r="AG8" s="66"/>
      <c r="AH8" s="67" t="s">
        <v>75</v>
      </c>
      <c r="AI8" s="67"/>
      <c r="AJ8" s="67"/>
      <c r="AK8" s="67"/>
      <c r="AL8" s="67"/>
      <c r="AM8" s="67"/>
      <c r="AN8" s="68"/>
    </row>
    <row r="9" spans="1:33" ht="17.25" customHeight="1">
      <c r="A9" s="360"/>
      <c r="B9" s="360"/>
      <c r="C9" s="360"/>
      <c r="D9" s="360"/>
      <c r="E9" s="360"/>
      <c r="F9" s="360"/>
      <c r="G9" s="360"/>
      <c r="H9" s="360"/>
      <c r="I9" s="360"/>
      <c r="J9" s="361"/>
      <c r="AG9" s="43" t="s">
        <v>86</v>
      </c>
    </row>
    <row r="10" spans="1:33" ht="17.25" customHeight="1">
      <c r="A10" s="48"/>
      <c r="B10" s="44"/>
      <c r="C10" s="44"/>
      <c r="D10" s="44"/>
      <c r="E10" s="44"/>
      <c r="F10" s="44"/>
      <c r="G10" s="44"/>
      <c r="H10" s="44"/>
      <c r="I10" s="44"/>
      <c r="J10" s="46"/>
      <c r="AG10" s="106">
        <f>DATA!DH20</f>
        <v>12796</v>
      </c>
    </row>
    <row r="11" spans="1:33" s="34" customFormat="1" ht="27.75" customHeight="1">
      <c r="A11" s="49"/>
      <c r="B11" s="50"/>
      <c r="C11" s="50"/>
      <c r="D11" s="50"/>
      <c r="E11" s="353" t="s">
        <v>81</v>
      </c>
      <c r="F11" s="353"/>
      <c r="G11" s="50"/>
      <c r="H11" s="50"/>
      <c r="I11" s="50"/>
      <c r="J11" s="51"/>
      <c r="AG11" s="45" t="s">
        <v>155</v>
      </c>
    </row>
    <row r="12" spans="1:33" s="34" customFormat="1" ht="27.75" customHeight="1">
      <c r="A12" s="49"/>
      <c r="B12" s="50"/>
      <c r="C12" s="50"/>
      <c r="D12" s="50"/>
      <c r="E12" s="353" t="s">
        <v>82</v>
      </c>
      <c r="F12" s="353"/>
      <c r="G12" s="50"/>
      <c r="H12" s="50"/>
      <c r="I12" s="50"/>
      <c r="J12" s="51"/>
      <c r="AG12" s="47" t="s">
        <v>89</v>
      </c>
    </row>
    <row r="13" spans="1:10" s="34" customFormat="1" ht="27.75" customHeight="1">
      <c r="A13" s="49"/>
      <c r="B13" s="50"/>
      <c r="C13" s="50"/>
      <c r="D13" s="50"/>
      <c r="E13" s="353" t="s">
        <v>80</v>
      </c>
      <c r="F13" s="353"/>
      <c r="G13" s="50"/>
      <c r="H13" s="50"/>
      <c r="I13" s="50"/>
      <c r="J13" s="51"/>
    </row>
    <row r="14" spans="1:10" s="34" customFormat="1" ht="27.75" customHeight="1" thickBot="1">
      <c r="A14" s="52"/>
      <c r="B14" s="53"/>
      <c r="C14" s="53"/>
      <c r="D14" s="53"/>
      <c r="E14" s="357" t="s">
        <v>83</v>
      </c>
      <c r="F14" s="357"/>
      <c r="G14" s="53"/>
      <c r="H14" s="53"/>
      <c r="I14" s="53"/>
      <c r="J14" s="54"/>
    </row>
    <row r="15" spans="1:10" s="34" customFormat="1" ht="27.75" customHeight="1">
      <c r="A15" s="50"/>
      <c r="B15" s="50"/>
      <c r="C15" s="50"/>
      <c r="D15" s="50"/>
      <c r="E15" s="69"/>
      <c r="F15" s="69"/>
      <c r="G15" s="50"/>
      <c r="H15" s="50"/>
      <c r="I15" s="50"/>
      <c r="J15" s="50"/>
    </row>
    <row r="16" spans="1:10" s="34" customFormat="1" ht="27.75" customHeight="1">
      <c r="A16" s="50"/>
      <c r="B16" s="50"/>
      <c r="C16" s="50"/>
      <c r="D16" s="50"/>
      <c r="E16" s="69"/>
      <c r="F16" s="69"/>
      <c r="G16" s="50"/>
      <c r="H16" s="50"/>
      <c r="I16" s="50"/>
      <c r="J16" s="50"/>
    </row>
    <row r="19" ht="17.25" customHeight="1" thickBot="1"/>
    <row r="20" spans="1:10" s="58" customFormat="1" ht="17.25" customHeight="1" thickBot="1">
      <c r="A20" s="55"/>
      <c r="B20" s="56"/>
      <c r="C20" s="56"/>
      <c r="D20" s="56"/>
      <c r="E20" s="56"/>
      <c r="F20" s="56"/>
      <c r="G20" s="56"/>
      <c r="H20" s="56"/>
      <c r="I20" s="56"/>
      <c r="J20" s="57"/>
    </row>
    <row r="21" spans="1:42" s="58" customFormat="1" ht="21.75" customHeight="1" thickBot="1">
      <c r="A21" s="358" t="s">
        <v>79</v>
      </c>
      <c r="B21" s="359"/>
      <c r="C21" s="70"/>
      <c r="D21" s="45"/>
      <c r="E21" s="44"/>
      <c r="F21" s="44"/>
      <c r="G21" s="363" t="s">
        <v>84</v>
      </c>
      <c r="H21" s="364"/>
      <c r="I21" s="71">
        <f>DATA!H2</f>
        <v>40453</v>
      </c>
      <c r="J21" s="40"/>
      <c r="K21" s="44"/>
      <c r="AG21" s="155" t="s">
        <v>156</v>
      </c>
      <c r="AH21" s="151"/>
      <c r="AI21" s="151"/>
      <c r="AJ21" s="151"/>
      <c r="AK21" s="151"/>
      <c r="AL21" s="151"/>
      <c r="AM21" s="151"/>
      <c r="AN21" s="151"/>
      <c r="AO21" s="151"/>
      <c r="AP21" s="153"/>
    </row>
    <row r="22" spans="1:33" s="58" customFormat="1" ht="17.25" customHeight="1">
      <c r="A22" s="48"/>
      <c r="B22" s="44"/>
      <c r="C22" s="44"/>
      <c r="D22" s="44"/>
      <c r="E22" s="44"/>
      <c r="F22" s="44"/>
      <c r="G22" s="44"/>
      <c r="H22" s="44"/>
      <c r="I22" s="44"/>
      <c r="J22" s="46"/>
      <c r="L22" s="44"/>
      <c r="M22" s="73" t="s">
        <v>88</v>
      </c>
      <c r="N22" s="73"/>
      <c r="O22" s="73"/>
      <c r="P22" s="73"/>
      <c r="Q22" s="73"/>
      <c r="R22" s="73"/>
      <c r="S22" s="73"/>
      <c r="T22" s="73"/>
      <c r="U22" s="73"/>
      <c r="V22" s="73"/>
      <c r="W22" s="74"/>
      <c r="AG22" s="106">
        <f>DATA!DH21</f>
        <v>3060</v>
      </c>
    </row>
    <row r="23" spans="1:33" s="58" customFormat="1" ht="17.25" customHeight="1">
      <c r="A23" s="48"/>
      <c r="B23" s="44"/>
      <c r="C23" s="44"/>
      <c r="D23" s="44"/>
      <c r="E23" s="44"/>
      <c r="F23" s="44"/>
      <c r="G23" s="44"/>
      <c r="H23" s="44"/>
      <c r="I23" s="44"/>
      <c r="J23" s="46"/>
      <c r="AG23" s="154" t="s">
        <v>157</v>
      </c>
    </row>
    <row r="24" spans="1:19" s="58" customFormat="1" ht="24" customHeight="1">
      <c r="A24" s="362" t="str">
        <f>CONCATENATE("              ",AG5," ",AG21," ",AG22," ",AG23)</f>
        <v>              aqÀ¡\mSv kp_pepÊemw lbÀsk¡­dn kvIqÄslUvamÌdnÂ \n¶pw D¨`£W¯n\pÅ km[\§Ä amthen tÌmdnÂ \n¶pw kvIqfnÂ F¯n¨Xn\pÅ h­n¡qen, Ibänd¡pIqen F¶o C\¯nepw, hndInsâ hne C\¯nepw  3060 cq] ( .............. ................................. .......................... ........................ ......................... .............. ............. ................ .......... ) In«nt_m[n¨p.</v>
      </c>
      <c r="B24" s="360"/>
      <c r="C24" s="360"/>
      <c r="D24" s="360"/>
      <c r="E24" s="360"/>
      <c r="F24" s="360"/>
      <c r="G24" s="360"/>
      <c r="H24" s="360"/>
      <c r="I24" s="360"/>
      <c r="J24" s="361"/>
      <c r="L24" s="36"/>
      <c r="M24" s="36"/>
      <c r="N24" s="36"/>
      <c r="O24" s="36"/>
      <c r="P24" s="36"/>
      <c r="Q24" s="36"/>
      <c r="R24" s="36"/>
      <c r="S24" s="36"/>
    </row>
    <row r="25" spans="1:10" s="58" customFormat="1" ht="24" customHeight="1">
      <c r="A25" s="362"/>
      <c r="B25" s="360"/>
      <c r="C25" s="360"/>
      <c r="D25" s="360"/>
      <c r="E25" s="360"/>
      <c r="F25" s="360"/>
      <c r="G25" s="360"/>
      <c r="H25" s="360"/>
      <c r="I25" s="360"/>
      <c r="J25" s="361"/>
    </row>
    <row r="26" spans="1:13" s="58" customFormat="1" ht="24" customHeight="1">
      <c r="A26" s="362"/>
      <c r="B26" s="360"/>
      <c r="C26" s="360"/>
      <c r="D26" s="360"/>
      <c r="E26" s="360"/>
      <c r="F26" s="360"/>
      <c r="G26" s="360"/>
      <c r="H26" s="360"/>
      <c r="I26" s="360"/>
      <c r="J26" s="361"/>
      <c r="M26" s="59"/>
    </row>
    <row r="27" spans="1:10" s="58" customFormat="1" ht="24" customHeight="1">
      <c r="A27" s="362"/>
      <c r="B27" s="360"/>
      <c r="C27" s="360"/>
      <c r="D27" s="360"/>
      <c r="E27" s="360"/>
      <c r="F27" s="360"/>
      <c r="G27" s="360"/>
      <c r="H27" s="360"/>
      <c r="I27" s="360"/>
      <c r="J27" s="361"/>
    </row>
    <row r="28" spans="1:10" s="58" customFormat="1" ht="24" customHeight="1">
      <c r="A28" s="362"/>
      <c r="B28" s="360"/>
      <c r="C28" s="360"/>
      <c r="D28" s="360"/>
      <c r="E28" s="360"/>
      <c r="F28" s="360"/>
      <c r="G28" s="360"/>
      <c r="H28" s="360"/>
      <c r="I28" s="360"/>
      <c r="J28" s="361"/>
    </row>
    <row r="29" spans="1:10" s="58" customFormat="1" ht="17.25" customHeight="1">
      <c r="A29" s="48"/>
      <c r="B29" s="44"/>
      <c r="C29" s="44"/>
      <c r="D29" s="44"/>
      <c r="E29" s="44"/>
      <c r="F29" s="44"/>
      <c r="G29" s="44"/>
      <c r="H29" s="44"/>
      <c r="I29" s="44"/>
      <c r="J29" s="46"/>
    </row>
    <row r="30" spans="1:10" s="58" customFormat="1" ht="17.25" customHeight="1">
      <c r="A30" s="48"/>
      <c r="B30" s="44"/>
      <c r="C30" s="44"/>
      <c r="D30" s="44"/>
      <c r="E30" s="44"/>
      <c r="F30" s="44"/>
      <c r="G30" s="44"/>
      <c r="H30" s="44"/>
      <c r="I30" s="44"/>
      <c r="J30" s="46"/>
    </row>
    <row r="31" spans="1:10" s="60" customFormat="1" ht="27.75" customHeight="1">
      <c r="A31" s="49"/>
      <c r="B31" s="50"/>
      <c r="C31" s="50"/>
      <c r="D31" s="50"/>
      <c r="E31" s="353" t="s">
        <v>81</v>
      </c>
      <c r="F31" s="353"/>
      <c r="G31" s="50"/>
      <c r="H31" s="50"/>
      <c r="I31" s="50"/>
      <c r="J31" s="51"/>
    </row>
    <row r="32" spans="1:10" s="60" customFormat="1" ht="27.75" customHeight="1">
      <c r="A32" s="49"/>
      <c r="B32" s="50"/>
      <c r="C32" s="50"/>
      <c r="D32" s="50"/>
      <c r="E32" s="353" t="s">
        <v>82</v>
      </c>
      <c r="F32" s="353"/>
      <c r="G32" s="50"/>
      <c r="H32" s="50"/>
      <c r="I32" s="50"/>
      <c r="J32" s="51"/>
    </row>
    <row r="33" spans="1:10" s="60" customFormat="1" ht="27.75" customHeight="1">
      <c r="A33" s="49"/>
      <c r="B33" s="50"/>
      <c r="C33" s="50"/>
      <c r="D33" s="50"/>
      <c r="E33" s="353" t="s">
        <v>80</v>
      </c>
      <c r="F33" s="353"/>
      <c r="G33" s="50"/>
      <c r="H33" s="50"/>
      <c r="I33" s="50"/>
      <c r="J33" s="51"/>
    </row>
    <row r="34" spans="1:10" s="60" customFormat="1" ht="27.75" customHeight="1" thickBot="1">
      <c r="A34" s="52"/>
      <c r="B34" s="53"/>
      <c r="C34" s="53"/>
      <c r="D34" s="53"/>
      <c r="E34" s="357" t="s">
        <v>83</v>
      </c>
      <c r="F34" s="357"/>
      <c r="G34" s="53"/>
      <c r="H34" s="53"/>
      <c r="I34" s="53"/>
      <c r="J34" s="54"/>
    </row>
  </sheetData>
  <sheetProtection/>
  <mergeCells count="15">
    <mergeCell ref="E33:F33"/>
    <mergeCell ref="E34:F34"/>
    <mergeCell ref="E14:F14"/>
    <mergeCell ref="A21:B21"/>
    <mergeCell ref="E31:F31"/>
    <mergeCell ref="E32:F32"/>
    <mergeCell ref="G21:H21"/>
    <mergeCell ref="A24:J28"/>
    <mergeCell ref="E13:F13"/>
    <mergeCell ref="A2:B2"/>
    <mergeCell ref="AG5:AN5"/>
    <mergeCell ref="E11:F11"/>
    <mergeCell ref="E12:F12"/>
    <mergeCell ref="G2:H2"/>
    <mergeCell ref="A5:J9"/>
  </mergeCells>
  <printOptions horizontalCentered="1"/>
  <pageMargins left="0.2362204724409449" right="0.2362204724409449" top="0.35433070866141736"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N34"/>
  <sheetViews>
    <sheetView zoomScalePageLayoutView="0" workbookViewId="0" topLeftCell="A16">
      <selection activeCell="G6" sqref="G6"/>
    </sheetView>
  </sheetViews>
  <sheetFormatPr defaultColWidth="9.140625" defaultRowHeight="17.25" customHeight="1"/>
  <cols>
    <col min="1" max="4" width="8.8515625" style="32" customWidth="1"/>
    <col min="5" max="5" width="8.7109375" style="32" customWidth="1"/>
    <col min="6" max="6" width="16.421875" style="32" customWidth="1"/>
    <col min="7" max="7" width="11.421875" style="32" customWidth="1"/>
    <col min="8" max="8" width="6.140625" style="32" customWidth="1"/>
    <col min="9" max="9" width="12.00390625" style="32" customWidth="1"/>
    <col min="10" max="10" width="5.7109375" style="32" customWidth="1"/>
    <col min="11" max="16384" width="8.8515625" style="32" customWidth="1"/>
  </cols>
  <sheetData>
    <row r="1" spans="1:10" ht="17.25" customHeight="1" thickBot="1">
      <c r="A1" s="37"/>
      <c r="B1" s="38"/>
      <c r="C1" s="38"/>
      <c r="D1" s="38"/>
      <c r="E1" s="38"/>
      <c r="F1" s="38"/>
      <c r="G1" s="38"/>
      <c r="H1" s="38"/>
      <c r="I1" s="38"/>
      <c r="J1" s="39"/>
    </row>
    <row r="2" spans="1:11" ht="23.25" customHeight="1" thickBot="1">
      <c r="A2" s="374" t="s">
        <v>79</v>
      </c>
      <c r="B2" s="375"/>
      <c r="C2" s="70"/>
      <c r="D2" s="31"/>
      <c r="E2" s="35"/>
      <c r="F2" s="35"/>
      <c r="G2" s="363" t="s">
        <v>84</v>
      </c>
      <c r="H2" s="364"/>
      <c r="I2" s="71">
        <f>DATA!H2</f>
        <v>40453</v>
      </c>
      <c r="J2" s="40"/>
      <c r="K2" s="35"/>
    </row>
    <row r="3" spans="1:10" ht="17.25" customHeight="1">
      <c r="A3" s="41"/>
      <c r="B3" s="35"/>
      <c r="C3" s="35"/>
      <c r="D3" s="35"/>
      <c r="E3" s="35"/>
      <c r="F3" s="35"/>
      <c r="G3" s="35"/>
      <c r="H3" s="35"/>
      <c r="I3" s="35"/>
      <c r="J3" s="42"/>
    </row>
    <row r="4" spans="1:10" ht="17.25" customHeight="1" thickBot="1">
      <c r="A4" s="41"/>
      <c r="B4" s="35"/>
      <c r="C4" s="35"/>
      <c r="D4" s="35"/>
      <c r="E4" s="35"/>
      <c r="F4" s="35"/>
      <c r="G4" s="35"/>
      <c r="H4" s="35"/>
      <c r="I4" s="35"/>
      <c r="J4" s="42"/>
    </row>
    <row r="5" spans="1:40" ht="24" customHeight="1">
      <c r="A5" s="376" t="str">
        <f>CONCATENATE(AG5," ",AH6," ",AH7," ",AH8)</f>
        <v>shäne¸md Pn. bp. ]n.kvIqÄ slUvamÌdnÂ \n¶pw 2010 sk]väw_À amks¯</v>
      </c>
      <c r="B5" s="377"/>
      <c r="C5" s="377"/>
      <c r="D5" s="377"/>
      <c r="E5" s="377"/>
      <c r="F5" s="377"/>
      <c r="G5" s="377"/>
      <c r="H5" s="377"/>
      <c r="I5" s="377"/>
      <c r="J5" s="378"/>
      <c r="AG5" s="365" t="s">
        <v>131</v>
      </c>
      <c r="AH5" s="366"/>
      <c r="AI5" s="366"/>
      <c r="AJ5" s="366"/>
      <c r="AK5" s="366"/>
      <c r="AL5" s="366"/>
      <c r="AM5" s="366"/>
      <c r="AN5" s="367"/>
    </row>
    <row r="6" spans="1:40" ht="24" customHeight="1">
      <c r="A6" s="43" t="s">
        <v>148</v>
      </c>
      <c r="B6" s="44"/>
      <c r="C6" s="44"/>
      <c r="D6" s="44"/>
      <c r="E6" s="61"/>
      <c r="G6" s="106"/>
      <c r="H6" s="45" t="s">
        <v>121</v>
      </c>
      <c r="I6" s="44"/>
      <c r="J6" s="46"/>
      <c r="AG6" s="62"/>
      <c r="AH6" s="63">
        <f>DATA!O3</f>
        <v>2010</v>
      </c>
      <c r="AI6" s="64"/>
      <c r="AJ6" s="64"/>
      <c r="AK6" s="64"/>
      <c r="AL6" s="64"/>
      <c r="AM6" s="64"/>
      <c r="AN6" s="65"/>
    </row>
    <row r="7" spans="1:40" ht="24" customHeight="1">
      <c r="A7" s="47" t="s">
        <v>77</v>
      </c>
      <c r="B7" s="44"/>
      <c r="C7" s="44"/>
      <c r="D7" s="44"/>
      <c r="E7" s="44"/>
      <c r="F7" s="44"/>
      <c r="G7" s="44"/>
      <c r="H7" s="44"/>
      <c r="I7" s="44"/>
      <c r="J7" s="46"/>
      <c r="AG7" s="62"/>
      <c r="AH7" s="64" t="str">
        <f>DATA!DA2</f>
        <v>sk]väw_À</v>
      </c>
      <c r="AI7" s="64"/>
      <c r="AJ7" s="64"/>
      <c r="AK7" s="64"/>
      <c r="AL7" s="64"/>
      <c r="AM7" s="64"/>
      <c r="AN7" s="65"/>
    </row>
    <row r="8" spans="1:40" ht="17.25" customHeight="1" thickBot="1">
      <c r="A8" s="48"/>
      <c r="B8" s="44"/>
      <c r="C8" s="44"/>
      <c r="D8" s="44"/>
      <c r="E8" s="44"/>
      <c r="F8" s="44"/>
      <c r="G8" s="44"/>
      <c r="H8" s="44"/>
      <c r="I8" s="44"/>
      <c r="J8" s="46"/>
      <c r="AG8" s="66"/>
      <c r="AH8" s="67" t="s">
        <v>75</v>
      </c>
      <c r="AI8" s="67"/>
      <c r="AJ8" s="67"/>
      <c r="AK8" s="67"/>
      <c r="AL8" s="67"/>
      <c r="AM8" s="67"/>
      <c r="AN8" s="68"/>
    </row>
    <row r="9" spans="1:10" ht="17.25" customHeight="1">
      <c r="A9" s="48"/>
      <c r="B9" s="44"/>
      <c r="C9" s="44"/>
      <c r="D9" s="44"/>
      <c r="E9" s="44"/>
      <c r="F9" s="44"/>
      <c r="G9" s="44"/>
      <c r="H9" s="44"/>
      <c r="I9" s="44"/>
      <c r="J9" s="46"/>
    </row>
    <row r="10" spans="1:10" ht="17.25" customHeight="1">
      <c r="A10" s="48"/>
      <c r="B10" s="44"/>
      <c r="C10" s="44"/>
      <c r="D10" s="44"/>
      <c r="E10" s="44"/>
      <c r="F10" s="44"/>
      <c r="G10" s="44"/>
      <c r="H10" s="44"/>
      <c r="I10" s="44"/>
      <c r="J10" s="46"/>
    </row>
    <row r="11" spans="1:10" s="34" customFormat="1" ht="27.75" customHeight="1">
      <c r="A11" s="49"/>
      <c r="B11" s="50"/>
      <c r="C11" s="50"/>
      <c r="D11" s="50"/>
      <c r="E11" s="353" t="s">
        <v>81</v>
      </c>
      <c r="F11" s="353"/>
      <c r="G11" s="50"/>
      <c r="H11" s="50"/>
      <c r="I11" s="50"/>
      <c r="J11" s="51"/>
    </row>
    <row r="12" spans="1:10" s="34" customFormat="1" ht="27.75" customHeight="1">
      <c r="A12" s="49"/>
      <c r="B12" s="50"/>
      <c r="C12" s="50"/>
      <c r="D12" s="50"/>
      <c r="E12" s="353" t="s">
        <v>82</v>
      </c>
      <c r="F12" s="353"/>
      <c r="G12" s="50"/>
      <c r="H12" s="50"/>
      <c r="I12" s="50"/>
      <c r="J12" s="51"/>
    </row>
    <row r="13" spans="1:10" s="34" customFormat="1" ht="27.75" customHeight="1">
      <c r="A13" s="49"/>
      <c r="B13" s="50"/>
      <c r="C13" s="50"/>
      <c r="D13" s="50"/>
      <c r="E13" s="353" t="s">
        <v>80</v>
      </c>
      <c r="F13" s="353"/>
      <c r="G13" s="50"/>
      <c r="H13" s="50"/>
      <c r="I13" s="50"/>
      <c r="J13" s="51"/>
    </row>
    <row r="14" spans="1:10" s="34" customFormat="1" ht="27.75" customHeight="1" thickBot="1">
      <c r="A14" s="52"/>
      <c r="B14" s="53"/>
      <c r="C14" s="53"/>
      <c r="D14" s="53"/>
      <c r="E14" s="357" t="s">
        <v>83</v>
      </c>
      <c r="F14" s="357"/>
      <c r="G14" s="53"/>
      <c r="H14" s="53"/>
      <c r="I14" s="53"/>
      <c r="J14" s="54"/>
    </row>
    <row r="15" spans="1:10" s="34" customFormat="1" ht="27.75" customHeight="1">
      <c r="A15" s="50"/>
      <c r="B15" s="50"/>
      <c r="C15" s="50"/>
      <c r="D15" s="50"/>
      <c r="E15" s="69"/>
      <c r="F15" s="69"/>
      <c r="G15" s="50"/>
      <c r="H15" s="50"/>
      <c r="I15" s="50"/>
      <c r="J15" s="50"/>
    </row>
    <row r="16" spans="1:10" s="34" customFormat="1" ht="27.75" customHeight="1">
      <c r="A16" s="50"/>
      <c r="B16" s="50"/>
      <c r="C16" s="50"/>
      <c r="D16" s="50"/>
      <c r="E16" s="69"/>
      <c r="F16" s="69"/>
      <c r="G16" s="50"/>
      <c r="H16" s="50"/>
      <c r="I16" s="50"/>
      <c r="J16" s="50"/>
    </row>
    <row r="19" ht="17.25" customHeight="1" thickBot="1"/>
    <row r="20" spans="1:10" s="58" customFormat="1" ht="17.25" customHeight="1" thickBot="1">
      <c r="A20" s="55"/>
      <c r="B20" s="56"/>
      <c r="C20" s="56"/>
      <c r="D20" s="56"/>
      <c r="E20" s="56"/>
      <c r="F20" s="56"/>
      <c r="G20" s="56"/>
      <c r="H20" s="56"/>
      <c r="I20" s="56"/>
      <c r="J20" s="57"/>
    </row>
    <row r="21" spans="1:11" s="58" customFormat="1" ht="21.75" customHeight="1" thickBot="1">
      <c r="A21" s="358" t="s">
        <v>79</v>
      </c>
      <c r="B21" s="359"/>
      <c r="C21" s="70"/>
      <c r="D21" s="45"/>
      <c r="E21" s="44"/>
      <c r="F21" s="44"/>
      <c r="G21" s="363" t="s">
        <v>84</v>
      </c>
      <c r="H21" s="364"/>
      <c r="I21" s="71">
        <f>DATA!H2</f>
        <v>40453</v>
      </c>
      <c r="J21" s="40"/>
      <c r="K21" s="44"/>
    </row>
    <row r="22" spans="1:23" s="58" customFormat="1" ht="17.25" customHeight="1">
      <c r="A22" s="48"/>
      <c r="B22" s="44"/>
      <c r="C22" s="44"/>
      <c r="D22" s="44"/>
      <c r="E22" s="44"/>
      <c r="F22" s="44"/>
      <c r="G22" s="44"/>
      <c r="H22" s="44"/>
      <c r="I22" s="44"/>
      <c r="J22" s="46"/>
      <c r="L22" s="44"/>
      <c r="M22" s="73" t="s">
        <v>88</v>
      </c>
      <c r="N22" s="73"/>
      <c r="O22" s="73"/>
      <c r="P22" s="73"/>
      <c r="Q22" s="73"/>
      <c r="R22" s="73"/>
      <c r="S22" s="73"/>
      <c r="T22" s="73"/>
      <c r="U22" s="73"/>
      <c r="V22" s="73"/>
      <c r="W22" s="74"/>
    </row>
    <row r="23" spans="1:10" s="58" customFormat="1" ht="17.25" customHeight="1">
      <c r="A23" s="48"/>
      <c r="B23" s="44"/>
      <c r="C23" s="44"/>
      <c r="D23" s="44"/>
      <c r="E23" s="44"/>
      <c r="F23" s="44"/>
      <c r="G23" s="44"/>
      <c r="H23" s="44"/>
      <c r="I23" s="44"/>
      <c r="J23" s="46"/>
    </row>
    <row r="24" spans="1:19" s="58" customFormat="1" ht="24" customHeight="1">
      <c r="A24" s="376" t="str">
        <f>A5</f>
        <v>shäne¸md Pn. bp. ]n.kvIqÄ slUvamÌdnÂ \n¶pw 2010 sk]väw_À amks¯</v>
      </c>
      <c r="B24" s="377"/>
      <c r="C24" s="377"/>
      <c r="D24" s="377"/>
      <c r="E24" s="377"/>
      <c r="F24" s="377"/>
      <c r="G24" s="377"/>
      <c r="H24" s="377"/>
      <c r="I24" s="377"/>
      <c r="J24" s="378"/>
      <c r="L24" s="36"/>
      <c r="M24" s="36"/>
      <c r="N24" s="36"/>
      <c r="O24" s="36"/>
      <c r="P24" s="36"/>
      <c r="Q24" s="36"/>
      <c r="R24" s="36"/>
      <c r="S24" s="36"/>
    </row>
    <row r="25" spans="1:10" s="58" customFormat="1" ht="24" customHeight="1">
      <c r="A25" s="371" t="s">
        <v>87</v>
      </c>
      <c r="B25" s="372"/>
      <c r="C25" s="372"/>
      <c r="D25" s="372"/>
      <c r="E25" s="372"/>
      <c r="F25" s="372"/>
      <c r="G25" s="372"/>
      <c r="H25" s="372"/>
      <c r="I25" s="372"/>
      <c r="J25" s="373"/>
    </row>
    <row r="26" spans="1:13" s="58" customFormat="1" ht="24" customHeight="1">
      <c r="A26" s="150" t="s">
        <v>146</v>
      </c>
      <c r="B26" s="151"/>
      <c r="C26" s="151"/>
      <c r="D26" s="151"/>
      <c r="E26" s="151"/>
      <c r="F26" s="151"/>
      <c r="G26" s="151" t="s">
        <v>147</v>
      </c>
      <c r="H26" s="151"/>
      <c r="I26" s="106"/>
      <c r="J26" s="46"/>
      <c r="M26" s="59"/>
    </row>
    <row r="27" spans="1:10" s="58" customFormat="1" ht="24" customHeight="1">
      <c r="A27" s="368" t="s">
        <v>120</v>
      </c>
      <c r="B27" s="369"/>
      <c r="C27" s="369"/>
      <c r="D27" s="369"/>
      <c r="E27" s="369"/>
      <c r="F27" s="369"/>
      <c r="G27" s="369"/>
      <c r="H27" s="369"/>
      <c r="I27" s="369"/>
      <c r="J27" s="370"/>
    </row>
    <row r="28" spans="1:10" s="58" customFormat="1" ht="24" customHeight="1">
      <c r="A28" s="75" t="s">
        <v>89</v>
      </c>
      <c r="B28" s="44"/>
      <c r="C28" s="44"/>
      <c r="D28" s="44"/>
      <c r="E28" s="44"/>
      <c r="F28" s="44"/>
      <c r="G28" s="44"/>
      <c r="H28" s="44"/>
      <c r="I28" s="44"/>
      <c r="J28" s="46"/>
    </row>
    <row r="29" spans="1:10" s="58" customFormat="1" ht="17.25" customHeight="1">
      <c r="A29" s="48"/>
      <c r="B29" s="44"/>
      <c r="C29" s="44"/>
      <c r="D29" s="44"/>
      <c r="E29" s="44"/>
      <c r="F29" s="44"/>
      <c r="G29" s="44"/>
      <c r="H29" s="44"/>
      <c r="I29" s="44"/>
      <c r="J29" s="46"/>
    </row>
    <row r="30" spans="1:10" s="58" customFormat="1" ht="17.25" customHeight="1">
      <c r="A30" s="48"/>
      <c r="B30" s="44"/>
      <c r="C30" s="44"/>
      <c r="D30" s="44"/>
      <c r="E30" s="44"/>
      <c r="F30" s="44"/>
      <c r="G30" s="44"/>
      <c r="H30" s="44"/>
      <c r="I30" s="44"/>
      <c r="J30" s="46"/>
    </row>
    <row r="31" spans="1:10" s="60" customFormat="1" ht="27.75" customHeight="1">
      <c r="A31" s="49"/>
      <c r="B31" s="50"/>
      <c r="C31" s="50"/>
      <c r="D31" s="50"/>
      <c r="E31" s="353" t="s">
        <v>81</v>
      </c>
      <c r="F31" s="353"/>
      <c r="G31" s="50"/>
      <c r="H31" s="50"/>
      <c r="I31" s="50"/>
      <c r="J31" s="51"/>
    </row>
    <row r="32" spans="1:10" s="60" customFormat="1" ht="27.75" customHeight="1">
      <c r="A32" s="49"/>
      <c r="B32" s="50"/>
      <c r="C32" s="50"/>
      <c r="D32" s="50"/>
      <c r="E32" s="353" t="s">
        <v>82</v>
      </c>
      <c r="F32" s="353"/>
      <c r="G32" s="50"/>
      <c r="H32" s="50"/>
      <c r="I32" s="50"/>
      <c r="J32" s="51"/>
    </row>
    <row r="33" spans="1:10" s="60" customFormat="1" ht="27.75" customHeight="1">
      <c r="A33" s="49"/>
      <c r="B33" s="50"/>
      <c r="C33" s="50"/>
      <c r="D33" s="50"/>
      <c r="E33" s="353" t="s">
        <v>80</v>
      </c>
      <c r="F33" s="353"/>
      <c r="G33" s="50"/>
      <c r="H33" s="50"/>
      <c r="I33" s="50"/>
      <c r="J33" s="51"/>
    </row>
    <row r="34" spans="1:10" s="60" customFormat="1" ht="27.75" customHeight="1" thickBot="1">
      <c r="A34" s="52"/>
      <c r="B34" s="53"/>
      <c r="C34" s="53"/>
      <c r="D34" s="53"/>
      <c r="E34" s="357" t="s">
        <v>83</v>
      </c>
      <c r="F34" s="357"/>
      <c r="G34" s="53"/>
      <c r="H34" s="53"/>
      <c r="I34" s="53"/>
      <c r="J34" s="54"/>
    </row>
  </sheetData>
  <sheetProtection/>
  <mergeCells count="17">
    <mergeCell ref="E13:F13"/>
    <mergeCell ref="E14:F14"/>
    <mergeCell ref="A21:B21"/>
    <mergeCell ref="G21:H21"/>
    <mergeCell ref="A24:J24"/>
    <mergeCell ref="A2:B2"/>
    <mergeCell ref="G2:H2"/>
    <mergeCell ref="A5:J5"/>
    <mergeCell ref="AG5:AN5"/>
    <mergeCell ref="E11:F11"/>
    <mergeCell ref="E12:F12"/>
    <mergeCell ref="A27:J27"/>
    <mergeCell ref="E31:F31"/>
    <mergeCell ref="E32:F32"/>
    <mergeCell ref="E33:F33"/>
    <mergeCell ref="E34:F34"/>
    <mergeCell ref="A25:J25"/>
  </mergeCells>
  <printOptions horizontalCentered="1"/>
  <pageMargins left="0.2362204724409449" right="0.2362204724409449" top="0.35433070866141736"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ABRAHAM</dc:creator>
  <cp:keywords/>
  <dc:description/>
  <cp:lastModifiedBy>JOSE ABRAHAM</cp:lastModifiedBy>
  <cp:lastPrinted>2010-10-17T08:25:10Z</cp:lastPrinted>
  <dcterms:created xsi:type="dcterms:W3CDTF">2010-07-08T05:42:42Z</dcterms:created>
  <dcterms:modified xsi:type="dcterms:W3CDTF">2010-10-17T08:31:13Z</dcterms:modified>
  <cp:category/>
  <cp:version/>
  <cp:contentType/>
  <cp:contentStatus/>
</cp:coreProperties>
</file>